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дох и расх 1 кв" sheetId="1" r:id="rId1"/>
  </sheets>
  <definedNames/>
  <calcPr fullCalcOnLoad="1"/>
</workbook>
</file>

<file path=xl/sharedStrings.xml><?xml version="1.0" encoding="utf-8"?>
<sst xmlns="http://schemas.openxmlformats.org/spreadsheetml/2006/main" count="429" uniqueCount="184">
  <si>
    <t>ООО "Наш Дом"</t>
  </si>
  <si>
    <t>за   январь -март 2017 года</t>
  </si>
  <si>
    <t>№ п/п</t>
  </si>
  <si>
    <t>Адрес жилого дома</t>
  </si>
  <si>
    <t xml:space="preserve">Д О Х О Д Ы </t>
  </si>
  <si>
    <t>СОИД( эл. энегрия, холодная и горячая вода)</t>
  </si>
  <si>
    <t>Доходы от арендаторов</t>
  </si>
  <si>
    <t>Всего доходы</t>
  </si>
  <si>
    <t xml:space="preserve">Р А С Х О Д Ы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</si>
  <si>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</si>
  <si>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</si>
  <si>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</si>
  <si>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</si>
  <si>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</si>
  <si>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</si>
  <si>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</si>
  <si>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</si>
  <si>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</si>
  <si>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</si>
  <si>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</si>
  <si>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</si>
  <si>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</si>
  <si>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пер.Крупской д.2</t>
  </si>
  <si>
    <t xml:space="preserve">пер.Крупской д.3 </t>
  </si>
  <si>
    <t xml:space="preserve">пер.Крупской д.5 </t>
  </si>
  <si>
    <t>пер.Крупской д.6</t>
  </si>
  <si>
    <t>пер.Крупской д.7</t>
  </si>
  <si>
    <t>пер.Крупской д.9</t>
  </si>
  <si>
    <t>пер.Крупской д.10</t>
  </si>
  <si>
    <t xml:space="preserve">пер.Крупской д.11 </t>
  </si>
  <si>
    <t>пер.Мира д.1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</si>
  <si>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</si>
  <si>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</si>
  <si>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</si>
  <si>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</si>
  <si>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</si>
  <si>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</si>
  <si>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</si>
  <si>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</si>
  <si>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</si>
  <si>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</si>
  <si>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</si>
  <si>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</si>
  <si>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</si>
  <si>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д.7</t>
  </si>
  <si>
    <t>ул.Горького д.8</t>
  </si>
  <si>
    <t>ул.Горького д.9</t>
  </si>
  <si>
    <t>ул.Горького д.10</t>
  </si>
  <si>
    <t>ул.Горького д.12</t>
  </si>
  <si>
    <t>ул.Иванова д.1</t>
  </si>
  <si>
    <t>ул.Иванова д.5</t>
  </si>
  <si>
    <t>ул.Иванова д.6</t>
  </si>
  <si>
    <t>ул.Иванова д.7</t>
  </si>
  <si>
    <t>ул.Иванова д.11</t>
  </si>
  <si>
    <t>ул.Иванова д.13</t>
  </si>
  <si>
    <t>ул.Иванова д.17</t>
  </si>
  <si>
    <t>ул.Иванова д.23</t>
  </si>
  <si>
    <t>ул.Иванова д.25</t>
  </si>
  <si>
    <t>ул.Иванова д.27</t>
  </si>
  <si>
    <t>ул.Калинина д.67</t>
  </si>
  <si>
    <t>ул.Кирова  д.2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</si>
  <si>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</si>
  <si>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</si>
  <si>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</si>
  <si>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</si>
  <si>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д.8</t>
  </si>
  <si>
    <t>ул.Комсомольская д.10 А</t>
  </si>
  <si>
    <t>ул.Комсомольская д.11</t>
  </si>
  <si>
    <t>ул.Комсомольская д.12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</si>
  <si>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</si>
  <si>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</si>
  <si>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</si>
  <si>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</si>
  <si>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</si>
  <si>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</si>
  <si>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</si>
  <si>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</si>
  <si>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</si>
  <si>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</si>
  <si>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</si>
  <si>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 xml:space="preserve">ул.Ленина д.4 </t>
  </si>
  <si>
    <t>ул.Ленина д.6</t>
  </si>
  <si>
    <t>ул.Ленина д.7</t>
  </si>
  <si>
    <t>ул.Ленина д.8</t>
  </si>
  <si>
    <t>ул.Ленина д.15</t>
  </si>
  <si>
    <t>ул.Ленина д.17</t>
  </si>
  <si>
    <t>ул.Ленина д.19</t>
  </si>
  <si>
    <t>ул.Ленина д.21</t>
  </si>
  <si>
    <t>ул.Ленина д.23</t>
  </si>
  <si>
    <t>ул.Ленина д.27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</si>
  <si>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</si>
  <si>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</si>
  <si>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</si>
  <si>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</si>
  <si>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</si>
  <si>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д.5</t>
  </si>
  <si>
    <t>ул.Луначарского д.7</t>
  </si>
  <si>
    <t>ул.Луначарского д.9</t>
  </si>
  <si>
    <t>ул.Луначарского д.21</t>
  </si>
  <si>
    <t>ул.Луначарского д.23</t>
  </si>
  <si>
    <t>ул.Луначарского д.25</t>
  </si>
  <si>
    <t>ул.Луначарскогод.31</t>
  </si>
  <si>
    <t>ул.Луначарскогод.33</t>
  </si>
  <si>
    <t>ул.Луначарскогод.42</t>
  </si>
  <si>
    <t>ул.Луначарскогод.52</t>
  </si>
  <si>
    <t>ул.Малиновского д.1</t>
  </si>
  <si>
    <t>ул.Мира д.1</t>
  </si>
  <si>
    <t>ул.Мира д.3</t>
  </si>
  <si>
    <t>ул.Мира д.4</t>
  </si>
  <si>
    <t>ул.Мира д.6</t>
  </si>
  <si>
    <t>ул.Мира д.8</t>
  </si>
  <si>
    <t>ул.Нахимова д.2</t>
  </si>
  <si>
    <t xml:space="preserve">ул.Нахимова д.4 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</si>
  <si>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</si>
  <si>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</si>
  <si>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</si>
  <si>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</si>
  <si>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</si>
  <si>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д.5</t>
  </si>
  <si>
    <t>ул.Октябрьская д.6</t>
  </si>
  <si>
    <t>ул.Октябрьская д.8</t>
  </si>
  <si>
    <t>ул.Октябрьская д.10</t>
  </si>
  <si>
    <t>ул.Октябрьская д.66</t>
  </si>
  <si>
    <t>ул.Октябрьская д.68</t>
  </si>
  <si>
    <t>ул.Первомайская д.2</t>
  </si>
  <si>
    <t>ул.Первомайская д.2 А</t>
  </si>
  <si>
    <t>ул.Первомайская д.4</t>
  </si>
  <si>
    <t xml:space="preserve">ул.Первомайская д.5 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</si>
  <si>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</si>
  <si>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</si>
  <si>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</si>
  <si>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</si>
  <si>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</si>
  <si>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</si>
  <si>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</si>
  <si>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</si>
  <si>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</si>
  <si>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</si>
  <si>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</si>
  <si>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</si>
  <si>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</si>
  <si>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</si>
  <si>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</si>
  <si>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</si>
  <si>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</si>
  <si>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</si>
  <si>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</si>
  <si>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</si>
  <si>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</si>
  <si>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</si>
  <si>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</si>
  <si>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</si>
  <si>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</si>
  <si>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</si>
  <si>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</si>
  <si>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</si>
  <si>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</si>
  <si>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д.13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</si>
  <si>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</si>
  <si>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</si>
  <si>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</si>
  <si>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</si>
  <si>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</si>
  <si>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д.6</t>
  </si>
  <si>
    <t>ул.Совхозная д.14</t>
  </si>
  <si>
    <t>ул.Совхозная д.93</t>
  </si>
  <si>
    <t>ул.Совхозная д.95</t>
  </si>
  <si>
    <t>ул.Суворова д.3</t>
  </si>
  <si>
    <t>ул.Суворова д.8А</t>
  </si>
  <si>
    <t>ул.Суворова д.10</t>
  </si>
  <si>
    <t>ул.Суворова д.17</t>
  </si>
  <si>
    <t>ул.Танкистов д.27</t>
  </si>
  <si>
    <t>ул.Танкистов д.29</t>
  </si>
  <si>
    <t>ул.Транспортная д.2</t>
  </si>
  <si>
    <t>ул.Транспортная д.4</t>
  </si>
  <si>
    <t>ул.Транспортная д.6</t>
  </si>
  <si>
    <t>ул.Школьная д.10</t>
  </si>
  <si>
    <t>ул.Школьная д.12</t>
  </si>
  <si>
    <t>ул.23 Сентября д.2</t>
  </si>
  <si>
    <t>ул.23 Сентября д.4</t>
  </si>
  <si>
    <t>ул.23 Сентября д.6</t>
  </si>
  <si>
    <t>ул.23 Сентября д.8</t>
  </si>
  <si>
    <t xml:space="preserve">итого </t>
  </si>
  <si>
    <t>Исп.Викторова Л.С.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</si>
</sst>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name val="Arimo"/>
      <family val="2"/>
    </font>
    <font>
      <sz val="8"/>
      <name val="Arimo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/>
    <xf numFmtId="0" fontId="1" fillId="2" borderId="0" xfId="0" applyFont="1" applyFill="1" applyBorder="1" applyAlignment="1">
      <alignment wrapText="1"/>
    </xf>
    <xf numFmtId="2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12" xfId="0" applyFont="1" applyBorder="1" applyAlignment="1">
      <alignment horizontal="center" vertical="center"/>
    </xf>
    <xf numFmtId="0" fontId="11" fillId="2" borderId="13" xfId="0" applyFont="1" applyBorder="1"/>
    <xf numFmtId="2" fontId="12" fillId="0" borderId="14" xfId="0" applyNumberFormat="1" applyFont="1" applyBorder="1"/>
    <xf numFmtId="2" fontId="12" fillId="0" borderId="15" xfId="0" applyNumberFormat="1" applyFont="1" applyBorder="1"/>
    <xf numFmtId="2" fontId="13" fillId="0" borderId="0" xfId="0" applyNumberFormat="1" applyFont="1"/>
    <xf numFmtId="2" fontId="12" fillId="0" borderId="16" xfId="0" applyNumberFormat="1" applyFont="1" applyBorder="1"/>
    <xf numFmtId="2" fontId="12" fillId="0" borderId="13" xfId="0" applyNumberFormat="1" applyFont="1" applyBorder="1"/>
    <xf numFmtId="2" fontId="12" fillId="0" borderId="17" xfId="0" applyNumberFormat="1" applyFont="1" applyBorder="1"/>
    <xf numFmtId="2" fontId="12" fillId="0" borderId="18" xfId="0" applyNumberFormat="1" applyFont="1" applyBorder="1"/>
    <xf numFmtId="0" fontId="10" fillId="0" borderId="12" xfId="0" applyFont="1" applyBorder="1" applyAlignment="1">
      <alignment horizontal="center" vertical="center"/>
    </xf>
    <xf numFmtId="0" fontId="11" fillId="2" borderId="12" xfId="0" applyFont="1" applyBorder="1"/>
    <xf numFmtId="2" fontId="12" fillId="0" borderId="12" xfId="0" applyNumberFormat="1" applyFont="1" applyBorder="1"/>
    <xf numFmtId="2" fontId="12" fillId="0" borderId="19" xfId="0" applyNumberFormat="1" applyFont="1" applyBorder="1"/>
    <xf numFmtId="2" fontId="12" fillId="0" borderId="20" xfId="0" applyNumberFormat="1" applyFont="1" applyBorder="1"/>
    <xf numFmtId="2" fontId="12" fillId="0" borderId="21" xfId="0" applyNumberFormat="1" applyFont="1" applyBorder="1"/>
    <xf numFmtId="2" fontId="12" fillId="0" borderId="6" xfId="0" applyNumberFormat="1" applyFont="1" applyBorder="1"/>
    <xf numFmtId="0" fontId="11" fillId="0" borderId="12" xfId="0" applyFont="1" applyBorder="1"/>
    <xf numFmtId="2" fontId="12" fillId="0" borderId="8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24" xfId="0" applyFont="1" applyBorder="1"/>
    <xf numFmtId="0" fontId="1" fillId="0" borderId="25" xfId="0" applyFont="1" applyBorder="1"/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/>
    <xf numFmtId="2" fontId="12" fillId="0" borderId="26" xfId="0" applyNumberFormat="1" applyFont="1" applyBorder="1"/>
    <xf numFmtId="2" fontId="12" fillId="0" borderId="27" xfId="0" applyNumberFormat="1" applyFont="1" applyBorder="1"/>
    <xf numFmtId="2" fontId="12" fillId="0" borderId="28" xfId="0" applyNumberFormat="1" applyFont="1" applyBorder="1"/>
    <xf numFmtId="2" fontId="12" fillId="0" borderId="29" xfId="0" applyNumberFormat="1" applyFont="1" applyBorder="1"/>
    <xf numFmtId="0" fontId="1" fillId="0" borderId="23" xfId="0" applyFont="1" applyBorder="1" applyAlignment="1">
      <alignment horizontal="center" textRotation="90" wrapText="1"/>
    </xf>
    <xf numFmtId="0" fontId="1" fillId="0" borderId="11" xfId="0" applyFont="1" applyBorder="1"/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/>
    <xf numFmtId="2" fontId="4" fillId="2" borderId="10" xfId="0" applyNumberFormat="1" applyFont="1" applyBorder="1"/>
    <xf numFmtId="2" fontId="7" fillId="2" borderId="10" xfId="0" applyNumberFormat="1" applyFont="1" applyBorder="1" applyAlignment="1">
      <alignment horizontal="center"/>
    </xf>
    <xf numFmtId="2" fontId="12" fillId="0" borderId="2" xfId="0" applyNumberFormat="1" applyFont="1" applyBorder="1"/>
    <xf numFmtId="2" fontId="12" fillId="0" borderId="1" xfId="0" applyNumberFormat="1" applyFont="1" applyBorder="1"/>
    <xf numFmtId="2" fontId="12" fillId="0" borderId="10" xfId="0" applyNumberFormat="1" applyFont="1" applyBorder="1"/>
    <xf numFmtId="2" fontId="7" fillId="0" borderId="10" xfId="0" applyNumberFormat="1" applyFont="1" applyBorder="1"/>
    <xf numFmtId="0" fontId="13" fillId="0" borderId="0" xfId="0" applyFont="1"/>
    <xf numFmtId="0" fontId="3" fillId="2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Border="1" applyAlignment="1">
      <alignment horizontal="center"/>
    </xf>
    <xf numFmtId="2" fontId="3" fillId="0" borderId="0" xfId="0" applyNumberFormat="1" applyFont="1"/>
    <xf numFmtId="0" fontId="3" fillId="2" borderId="0" xfId="0" applyFont="1" applyBorder="1"/>
    <xf numFmtId="0" fontId="1" fillId="2" borderId="0" xfId="0" applyFont="1" applyBorder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Q1000"/>
  <sheetViews>
    <sheetView tabSelected="1" workbookViewId="0" topLeftCell="A1"/>
  </sheetViews>
  <sheetFormatPr defaultColWidth="14.421875" defaultRowHeight="15" customHeight="1"/>
  <cols>
    <col min="1" max="1" width="3.57421875" style="0" customWidth="1"/>
    <col min="2" max="2" width="22.140625" style="0" customWidth="1"/>
    <col min="3" max="3" width="12.28125" style="0" customWidth="1"/>
    <col min="4" max="4" width="11.8515625" style="0" customWidth="1"/>
    <col min="5" max="5" width="11.57421875" style="0" customWidth="1"/>
    <col min="6" max="6" width="10.57421875" style="0" hidden="1" customWidth="1"/>
    <col min="7" max="7" width="11.140625" style="0" hidden="1" customWidth="1"/>
    <col min="8" max="8" width="10.57421875" style="0" hidden="1" customWidth="1"/>
    <col min="9" max="9" width="10.140625" style="0" hidden="1" customWidth="1"/>
    <col min="10" max="13" width="10.00390625" style="0" hidden="1" customWidth="1"/>
    <col min="14" max="14" width="10.8515625" style="0" hidden="1" customWidth="1"/>
    <col min="15" max="15" width="10.8515625" style="0" customWidth="1"/>
    <col min="16" max="16" width="11.140625" style="0" customWidth="1"/>
    <col min="17" max="17" width="12.8515625" style="0" customWidth="1"/>
    <col min="18" max="18" width="0.13671875" style="0" hidden="1" customWidth="1"/>
    <col min="19" max="19" width="3.57421875" style="0" customWidth="1"/>
    <col min="20" max="20" width="20.57421875" style="0" customWidth="1"/>
    <col min="21" max="21" width="13.7109375" style="0" customWidth="1"/>
    <col min="22" max="22" width="11.00390625" style="0" customWidth="1"/>
    <col min="23" max="23" width="13.28125" style="0" customWidth="1"/>
    <col min="24" max="24" width="10.00390625" style="0" hidden="1" customWidth="1"/>
    <col min="25" max="25" width="10.28125" style="0" hidden="1" customWidth="1"/>
    <col min="26" max="26" width="10.57421875" style="0" hidden="1" customWidth="1"/>
    <col min="27" max="31" width="11.421875" style="0" hidden="1" customWidth="1"/>
    <col min="32" max="32" width="12.140625" style="0" hidden="1" customWidth="1"/>
    <col min="33" max="33" width="12.8515625" style="0" customWidth="1"/>
    <col min="34" max="34" width="7.00390625" style="0" customWidth="1"/>
    <col min="35" max="35" width="7.57421875" style="0" customWidth="1"/>
    <col min="36" max="36" width="6.140625" style="0" customWidth="1"/>
    <col min="37" max="37" width="10.28125" style="0" customWidth="1"/>
    <col min="38" max="38" width="16.57421875" style="0" customWidth="1"/>
    <col min="39" max="40" width="6.421875" style="0" customWidth="1"/>
    <col min="41" max="41" width="6.140625" style="0" customWidth="1"/>
    <col min="42" max="42" width="6.00390625" style="0" customWidth="1"/>
    <col min="43" max="43" width="7.00390625" style="0" customWidth="1"/>
  </cols>
  <sheetData>
    <row r="1" spans="1:43" ht="1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 t="s">
        <v>0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8.75" customHeight="1">
      <c r="A2" s="2"/>
      <c r="B2" s="3"/>
      <c r="C2" s="4"/>
      <c r="D2" s="4"/>
      <c r="E2" s="5"/>
      <c r="O2" s="5"/>
      <c r="P2" s="4"/>
      <c r="Q2" s="4"/>
      <c r="R2" s="4"/>
      <c r="S2" s="2"/>
      <c r="T2" s="3"/>
      <c r="U2" s="2"/>
      <c r="V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3.5" customHeight="1">
      <c r="A3" s="6" t="s">
        <v>1</v>
      </c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 t="s">
        <v>1</v>
      </c>
      <c r="U3" s="7"/>
      <c r="V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3.5" customHeight="1">
      <c r="A5" s="10" t="s">
        <v>2</v>
      </c>
      <c r="B5" s="11" t="s">
        <v>3</v>
      </c>
      <c r="C5" s="12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3" t="s">
        <v>5</v>
      </c>
      <c r="P5" s="14" t="s">
        <v>6</v>
      </c>
      <c r="Q5" s="14" t="s">
        <v>7</v>
      </c>
      <c r="R5" s="15"/>
      <c r="S5" s="10" t="s">
        <v>2</v>
      </c>
      <c r="T5" s="16" t="s">
        <v>3</v>
      </c>
      <c r="U5" s="12" t="s">
        <v>8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17" t="s">
        <v>9</v>
      </c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" customHeight="1">
      <c r="A6" s="18"/>
      <c r="B6" s="19"/>
      <c r="C6" s="20" t="s">
        <v>10</v>
      </c>
      <c r="D6" s="20" t="s">
        <v>11</v>
      </c>
      <c r="E6" s="21" t="s">
        <v>12</v>
      </c>
      <c r="F6" s="22" t="s">
        <v>13</v>
      </c>
      <c r="G6" s="21" t="s">
        <v>14</v>
      </c>
      <c r="H6" s="22" t="s">
        <v>15</v>
      </c>
      <c r="I6" s="21" t="s">
        <v>16</v>
      </c>
      <c r="J6" s="22" t="s">
        <v>17</v>
      </c>
      <c r="K6" s="22" t="s">
        <v>18</v>
      </c>
      <c r="L6" s="23" t="s">
        <v>19</v>
      </c>
      <c r="M6" s="23" t="s">
        <v>20</v>
      </c>
      <c r="N6" s="22" t="s">
        <v>21</v>
      </c>
      <c r="O6" s="18"/>
      <c r="P6" s="18"/>
      <c r="Q6" s="18"/>
      <c r="R6" s="15"/>
      <c r="S6" s="18"/>
      <c r="T6" s="18"/>
      <c r="U6" s="20" t="s">
        <v>10</v>
      </c>
      <c r="V6" s="21" t="s">
        <v>11</v>
      </c>
      <c r="W6" s="20" t="s">
        <v>12</v>
      </c>
      <c r="X6" s="20" t="s">
        <v>13</v>
      </c>
      <c r="Y6" s="20" t="s">
        <v>14</v>
      </c>
      <c r="Z6" s="21" t="s">
        <v>15</v>
      </c>
      <c r="AA6" s="20" t="s">
        <v>16</v>
      </c>
      <c r="AB6" s="20" t="s">
        <v>17</v>
      </c>
      <c r="AC6" s="20" t="s">
        <v>18</v>
      </c>
      <c r="AD6" s="23" t="s">
        <v>19</v>
      </c>
      <c r="AE6" s="23" t="s">
        <v>20</v>
      </c>
      <c r="AF6" s="20" t="s">
        <v>21</v>
      </c>
      <c r="AG6" s="18"/>
      <c r="AH6" s="2"/>
      <c r="AI6" s="2"/>
      <c r="AJ6" s="2"/>
      <c r="AK6" s="24"/>
      <c r="AL6" s="25"/>
      <c r="AM6" s="25"/>
      <c r="AN6" s="25"/>
      <c r="AO6" s="2"/>
      <c r="AP6" s="25"/>
      <c r="AQ6" s="26"/>
    </row>
    <row r="7" spans="1:43" ht="11.25" customHeight="1">
      <c r="A7" s="18"/>
      <c r="B7" s="19"/>
      <c r="C7" s="18"/>
      <c r="D7" s="18"/>
      <c r="F7" s="18"/>
      <c r="H7" s="18"/>
      <c r="J7" s="18"/>
      <c r="K7" s="18"/>
      <c r="L7" s="18"/>
      <c r="M7" s="18"/>
      <c r="N7" s="18"/>
      <c r="O7" s="18"/>
      <c r="P7" s="18"/>
      <c r="Q7" s="18"/>
      <c r="R7" s="15"/>
      <c r="S7" s="18"/>
      <c r="T7" s="18"/>
      <c r="U7" s="18"/>
      <c r="W7" s="18"/>
      <c r="X7" s="18"/>
      <c r="Y7" s="18"/>
      <c r="AA7" s="18"/>
      <c r="AB7" s="18"/>
      <c r="AC7" s="18"/>
      <c r="AD7" s="18"/>
      <c r="AE7" s="18"/>
      <c r="AF7" s="18"/>
      <c r="AG7" s="18"/>
      <c r="AH7" s="2"/>
      <c r="AI7" s="2"/>
      <c r="AJ7" s="2"/>
      <c r="AK7" s="24"/>
      <c r="AL7" s="27"/>
      <c r="AM7" s="27"/>
      <c r="AN7" s="27"/>
      <c r="AO7" s="2"/>
      <c r="AP7" s="27"/>
      <c r="AQ7" s="26"/>
    </row>
    <row r="8" spans="1:43" ht="12.75" customHeight="1">
      <c r="A8" s="18"/>
      <c r="B8" s="19"/>
      <c r="C8" s="18"/>
      <c r="D8" s="18"/>
      <c r="F8" s="18"/>
      <c r="H8" s="18"/>
      <c r="J8" s="18"/>
      <c r="K8" s="18"/>
      <c r="L8" s="18"/>
      <c r="M8" s="18"/>
      <c r="N8" s="18"/>
      <c r="O8" s="18"/>
      <c r="P8" s="18"/>
      <c r="Q8" s="18"/>
      <c r="R8" s="15"/>
      <c r="S8" s="18"/>
      <c r="T8" s="18"/>
      <c r="U8" s="18"/>
      <c r="W8" s="18"/>
      <c r="X8" s="18"/>
      <c r="Y8" s="18"/>
      <c r="AA8" s="18"/>
      <c r="AB8" s="18"/>
      <c r="AC8" s="18"/>
      <c r="AD8" s="18"/>
      <c r="AE8" s="18"/>
      <c r="AF8" s="18"/>
      <c r="AG8" s="18"/>
      <c r="AH8" s="2"/>
      <c r="AI8" s="2"/>
      <c r="AJ8" s="2"/>
      <c r="AK8" s="24"/>
      <c r="AL8" s="25"/>
      <c r="AM8" s="25"/>
      <c r="AN8" s="25"/>
      <c r="AO8" s="2"/>
      <c r="AP8" s="25"/>
      <c r="AQ8" s="26"/>
    </row>
    <row r="9" spans="1:43" ht="11.25" customHeight="1">
      <c r="A9" s="18"/>
      <c r="B9" s="19"/>
      <c r="C9" s="18"/>
      <c r="D9" s="18"/>
      <c r="F9" s="18"/>
      <c r="H9" s="18"/>
      <c r="J9" s="18"/>
      <c r="K9" s="18"/>
      <c r="L9" s="18"/>
      <c r="M9" s="18"/>
      <c r="N9" s="18"/>
      <c r="O9" s="18"/>
      <c r="P9" s="18"/>
      <c r="Q9" s="18"/>
      <c r="R9" s="15"/>
      <c r="S9" s="18"/>
      <c r="T9" s="18"/>
      <c r="U9" s="18"/>
      <c r="W9" s="18"/>
      <c r="X9" s="18"/>
      <c r="Y9" s="18"/>
      <c r="AA9" s="18"/>
      <c r="AB9" s="18"/>
      <c r="AC9" s="18"/>
      <c r="AD9" s="18"/>
      <c r="AE9" s="18"/>
      <c r="AF9" s="18"/>
      <c r="AG9" s="18"/>
      <c r="AH9" s="2"/>
      <c r="AI9" s="2"/>
      <c r="AJ9" s="2"/>
      <c r="AK9" s="24"/>
      <c r="AL9" s="24"/>
      <c r="AM9" s="24"/>
      <c r="AN9" s="24"/>
      <c r="AO9" s="2"/>
      <c r="AP9" s="24"/>
      <c r="AQ9" s="26"/>
    </row>
    <row r="10" spans="1:43" ht="12" customHeight="1">
      <c r="A10" s="18"/>
      <c r="B10" s="19"/>
      <c r="C10" s="18"/>
      <c r="D10" s="18"/>
      <c r="F10" s="18"/>
      <c r="H10" s="18"/>
      <c r="J10" s="18"/>
      <c r="K10" s="18"/>
      <c r="L10" s="18"/>
      <c r="M10" s="18"/>
      <c r="N10" s="18"/>
      <c r="O10" s="18"/>
      <c r="P10" s="18"/>
      <c r="Q10" s="18"/>
      <c r="R10" s="15"/>
      <c r="S10" s="18"/>
      <c r="T10" s="18"/>
      <c r="U10" s="18"/>
      <c r="W10" s="18"/>
      <c r="X10" s="18"/>
      <c r="Y10" s="18"/>
      <c r="AA10" s="18"/>
      <c r="AB10" s="18"/>
      <c r="AC10" s="18"/>
      <c r="AD10" s="18"/>
      <c r="AE10" s="18"/>
      <c r="AF10" s="18"/>
      <c r="AG10" s="18"/>
      <c r="AH10" s="2"/>
      <c r="AI10" s="2"/>
      <c r="AJ10" s="2"/>
      <c r="AK10" s="24"/>
      <c r="AL10" s="24"/>
      <c r="AM10" s="24"/>
      <c r="AN10" s="24"/>
      <c r="AO10" s="2"/>
      <c r="AP10" s="24"/>
      <c r="AQ10" s="26"/>
    </row>
    <row r="11" spans="1:43" ht="15.75" customHeight="1">
      <c r="A11" s="28"/>
      <c r="B11" s="29"/>
      <c r="C11" s="28"/>
      <c r="D11" s="28"/>
      <c r="F11" s="28"/>
      <c r="H11" s="28"/>
      <c r="J11" s="28"/>
      <c r="K11" s="28"/>
      <c r="L11" s="28"/>
      <c r="M11" s="28"/>
      <c r="N11" s="28"/>
      <c r="O11" s="28"/>
      <c r="P11" s="28"/>
      <c r="Q11" s="28"/>
      <c r="R11" s="15"/>
      <c r="S11" s="28"/>
      <c r="T11" s="28"/>
      <c r="U11" s="28"/>
      <c r="W11" s="28"/>
      <c r="X11" s="28"/>
      <c r="Y11" s="28"/>
      <c r="AA11" s="28"/>
      <c r="AB11" s="28"/>
      <c r="AC11" s="28"/>
      <c r="AD11" s="28"/>
      <c r="AE11" s="28"/>
      <c r="AF11" s="28"/>
      <c r="AG11" s="28"/>
      <c r="AH11" s="2"/>
      <c r="AI11" s="2"/>
      <c r="AJ11" s="2"/>
      <c r="AK11" s="24"/>
      <c r="AL11" s="24"/>
      <c r="AM11" s="24"/>
      <c r="AN11" s="24"/>
      <c r="AO11" s="2"/>
      <c r="AP11" s="24"/>
      <c r="AQ11" s="26"/>
    </row>
    <row r="12" spans="1:43" ht="12" customHeight="1">
      <c r="A12" s="30">
        <v>1</v>
      </c>
      <c r="B12" s="31">
        <v>2</v>
      </c>
      <c r="C12" s="32">
        <v>3</v>
      </c>
      <c r="D12" s="33">
        <v>4</v>
      </c>
      <c r="E12" s="30">
        <v>5</v>
      </c>
      <c r="F12" s="31">
        <v>6</v>
      </c>
      <c r="G12" s="30">
        <v>7</v>
      </c>
      <c r="H12" s="34">
        <v>8</v>
      </c>
      <c r="I12" s="30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6</v>
      </c>
      <c r="P12" s="30">
        <v>7</v>
      </c>
      <c r="Q12" s="30">
        <v>8</v>
      </c>
      <c r="R12" s="36"/>
      <c r="S12" s="30">
        <v>1</v>
      </c>
      <c r="T12" s="31">
        <v>2</v>
      </c>
      <c r="U12" s="30">
        <v>3</v>
      </c>
      <c r="V12" s="30">
        <v>4</v>
      </c>
      <c r="W12" s="34">
        <v>5</v>
      </c>
      <c r="X12" s="30">
        <v>6</v>
      </c>
      <c r="Y12" s="34">
        <v>7</v>
      </c>
      <c r="Z12" s="30">
        <v>8</v>
      </c>
      <c r="AA12" s="35">
        <v>9</v>
      </c>
      <c r="AB12" s="34">
        <v>10</v>
      </c>
      <c r="AC12" s="30">
        <v>11</v>
      </c>
      <c r="AD12" s="34">
        <v>12</v>
      </c>
      <c r="AE12" s="30">
        <v>12</v>
      </c>
      <c r="AF12" s="31">
        <v>14</v>
      </c>
      <c r="AG12" s="30">
        <v>15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" customHeight="1">
      <c r="A13" s="37">
        <v>1</v>
      </c>
      <c r="B13" s="38" t="s">
        <v>22</v>
      </c>
      <c r="C13" s="39">
        <v>3938.77</v>
      </c>
      <c r="D13" s="39">
        <v>3938.77</v>
      </c>
      <c r="E13" s="39">
        <v>3938.77</v>
      </c>
      <c r="F13" s="39"/>
      <c r="G13" s="39"/>
      <c r="H13" s="39"/>
      <c r="I13" s="39"/>
      <c r="J13" s="39"/>
      <c r="K13" s="39"/>
      <c r="L13" s="39"/>
      <c r="M13" s="39"/>
      <c r="N13" s="39"/>
      <c r="O13" s="39">
        <f>489.2+23.29+489.2+23.29+489.2+23.29</f>
        <v>1537.47</v>
      </c>
      <c r="P13" s="39"/>
      <c r="Q13" s="40">
        <f aca="true" t="shared" si="0" ref="Q13:Q77">SUM(C13:P13)</f>
        <v>13353.78</v>
      </c>
      <c r="R13" s="41"/>
      <c r="S13" s="37">
        <v>1</v>
      </c>
      <c r="T13" s="38" t="s">
        <v>22</v>
      </c>
      <c r="U13" s="42">
        <v>4522.66</v>
      </c>
      <c r="V13" s="43">
        <v>4401.1</v>
      </c>
      <c r="W13" s="43">
        <v>4058.35</v>
      </c>
      <c r="X13" s="44"/>
      <c r="Y13" s="44"/>
      <c r="Z13" s="44"/>
      <c r="AA13" s="44"/>
      <c r="AB13" s="45"/>
      <c r="AC13" s="45"/>
      <c r="AD13" s="45"/>
      <c r="AE13" s="45"/>
      <c r="AF13" s="45"/>
      <c r="AG13" s="43">
        <f aca="true" t="shared" si="1" ref="AG13:AG77">SUM(U13:AF13)</f>
        <v>12982.11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" customHeight="1">
      <c r="A14" s="46">
        <v>2</v>
      </c>
      <c r="B14" s="47" t="s">
        <v>23</v>
      </c>
      <c r="C14" s="48">
        <v>5127.38</v>
      </c>
      <c r="D14" s="48">
        <v>5127.38</v>
      </c>
      <c r="E14" s="48">
        <v>5127.38</v>
      </c>
      <c r="F14" s="48"/>
      <c r="G14" s="48"/>
      <c r="H14" s="48"/>
      <c r="I14" s="48"/>
      <c r="J14" s="48"/>
      <c r="K14" s="48"/>
      <c r="L14" s="48"/>
      <c r="M14" s="48"/>
      <c r="N14" s="48"/>
      <c r="O14" s="48">
        <f>300.87+14.37+315.24+315.24</f>
        <v>945.72</v>
      </c>
      <c r="P14" s="48"/>
      <c r="Q14" s="40">
        <f t="shared" si="0"/>
        <v>16327.86</v>
      </c>
      <c r="R14" s="41"/>
      <c r="S14" s="46">
        <v>2</v>
      </c>
      <c r="T14" s="47" t="s">
        <v>23</v>
      </c>
      <c r="U14" s="49">
        <v>5192.17</v>
      </c>
      <c r="V14" s="48">
        <v>4978.21</v>
      </c>
      <c r="W14" s="39">
        <v>4672.61</v>
      </c>
      <c r="X14" s="50"/>
      <c r="Y14" s="50"/>
      <c r="Z14" s="50"/>
      <c r="AA14" s="50"/>
      <c r="AB14" s="51"/>
      <c r="AC14" s="51"/>
      <c r="AD14" s="51"/>
      <c r="AE14" s="51"/>
      <c r="AF14" s="51"/>
      <c r="AG14" s="39">
        <f t="shared" si="1"/>
        <v>14842.99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" customHeight="1">
      <c r="A15" s="46">
        <v>3</v>
      </c>
      <c r="B15" s="47" t="s">
        <v>24</v>
      </c>
      <c r="C15" s="48">
        <v>4241.52</v>
      </c>
      <c r="D15" s="48">
        <v>4233.14</v>
      </c>
      <c r="E15" s="48">
        <v>4238.74</v>
      </c>
      <c r="F15" s="48"/>
      <c r="G15" s="48"/>
      <c r="H15" s="48"/>
      <c r="I15" s="48"/>
      <c r="J15" s="48"/>
      <c r="K15" s="48"/>
      <c r="L15" s="48"/>
      <c r="M15" s="48"/>
      <c r="N15" s="48"/>
      <c r="O15" s="48">
        <f>373.41+17.83+391.24+391.24</f>
        <v>1173.72</v>
      </c>
      <c r="P15" s="48"/>
      <c r="Q15" s="40">
        <f t="shared" si="0"/>
        <v>13887.12</v>
      </c>
      <c r="R15" s="41"/>
      <c r="S15" s="46">
        <v>3</v>
      </c>
      <c r="T15" s="47" t="s">
        <v>24</v>
      </c>
      <c r="U15" s="49">
        <v>4203.47</v>
      </c>
      <c r="V15" s="48">
        <v>4250.48</v>
      </c>
      <c r="W15" s="39">
        <v>3951.96</v>
      </c>
      <c r="X15" s="50"/>
      <c r="Y15" s="50"/>
      <c r="Z15" s="50"/>
      <c r="AA15" s="50"/>
      <c r="AB15" s="51"/>
      <c r="AC15" s="51"/>
      <c r="AD15" s="51"/>
      <c r="AE15" s="51"/>
      <c r="AF15" s="51"/>
      <c r="AG15" s="39">
        <f t="shared" si="1"/>
        <v>12405.91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" customHeight="1">
      <c r="A16" s="46">
        <v>4</v>
      </c>
      <c r="B16" s="47" t="s">
        <v>25</v>
      </c>
      <c r="C16" s="48">
        <v>8044.1</v>
      </c>
      <c r="D16" s="48">
        <v>8060.87</v>
      </c>
      <c r="E16" s="48">
        <v>8060.87</v>
      </c>
      <c r="F16" s="48"/>
      <c r="G16" s="48"/>
      <c r="H16" s="48"/>
      <c r="I16" s="48"/>
      <c r="J16" s="48"/>
      <c r="K16" s="48"/>
      <c r="L16" s="48"/>
      <c r="M16" s="48"/>
      <c r="N16" s="48"/>
      <c r="O16" s="48">
        <f>389.76+19.95+409.72+409.7</f>
        <v>1229.13</v>
      </c>
      <c r="P16" s="48"/>
      <c r="Q16" s="40">
        <f t="shared" si="0"/>
        <v>25394.97</v>
      </c>
      <c r="R16" s="41"/>
      <c r="S16" s="46">
        <v>4</v>
      </c>
      <c r="T16" s="47" t="s">
        <v>25</v>
      </c>
      <c r="U16" s="49">
        <v>8079.05</v>
      </c>
      <c r="V16" s="48">
        <v>7498.76</v>
      </c>
      <c r="W16" s="39">
        <v>7778.18</v>
      </c>
      <c r="X16" s="50"/>
      <c r="Y16" s="50"/>
      <c r="Z16" s="50"/>
      <c r="AA16" s="50"/>
      <c r="AB16" s="51"/>
      <c r="AC16" s="51"/>
      <c r="AD16" s="51"/>
      <c r="AE16" s="51"/>
      <c r="AF16" s="51"/>
      <c r="AG16" s="39">
        <f t="shared" si="1"/>
        <v>23355.99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" customHeight="1">
      <c r="A17" s="46">
        <v>5</v>
      </c>
      <c r="B17" s="47" t="s">
        <v>26</v>
      </c>
      <c r="C17" s="48">
        <v>1798.76</v>
      </c>
      <c r="D17" s="48">
        <v>1798.76</v>
      </c>
      <c r="E17" s="48">
        <v>1798.76</v>
      </c>
      <c r="F17" s="48"/>
      <c r="G17" s="48"/>
      <c r="H17" s="48"/>
      <c r="I17" s="48"/>
      <c r="J17" s="48"/>
      <c r="K17" s="48"/>
      <c r="L17" s="48"/>
      <c r="M17" s="48"/>
      <c r="N17" s="48"/>
      <c r="O17" s="48">
        <f>132.12+6.76+138.88+138.88</f>
        <v>416.64</v>
      </c>
      <c r="P17" s="48"/>
      <c r="Q17" s="40">
        <f t="shared" si="0"/>
        <v>5812.92</v>
      </c>
      <c r="R17" s="41"/>
      <c r="S17" s="46">
        <v>5</v>
      </c>
      <c r="T17" s="47" t="s">
        <v>26</v>
      </c>
      <c r="U17" s="49">
        <v>2148.29</v>
      </c>
      <c r="V17" s="48">
        <v>1705.44</v>
      </c>
      <c r="W17" s="39">
        <v>1869.68</v>
      </c>
      <c r="X17" s="50"/>
      <c r="Y17" s="50"/>
      <c r="Z17" s="50"/>
      <c r="AA17" s="50"/>
      <c r="AB17" s="51"/>
      <c r="AC17" s="51"/>
      <c r="AD17" s="51"/>
      <c r="AE17" s="51"/>
      <c r="AF17" s="51"/>
      <c r="AG17" s="39">
        <f t="shared" si="1"/>
        <v>5723.41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" customHeight="1">
      <c r="A18" s="46">
        <v>6</v>
      </c>
      <c r="B18" s="47" t="s">
        <v>27</v>
      </c>
      <c r="C18" s="48">
        <v>2243.49</v>
      </c>
      <c r="D18" s="48">
        <v>2243.49</v>
      </c>
      <c r="E18" s="48">
        <v>2243.49</v>
      </c>
      <c r="F18" s="48"/>
      <c r="G18" s="48"/>
      <c r="H18" s="48"/>
      <c r="I18" s="48"/>
      <c r="J18" s="48"/>
      <c r="K18" s="48"/>
      <c r="L18" s="48"/>
      <c r="M18" s="48"/>
      <c r="N18" s="48"/>
      <c r="O18" s="48">
        <f>137.36+137.36+137.36</f>
        <v>412.08</v>
      </c>
      <c r="P18" s="48"/>
      <c r="Q18" s="40">
        <f t="shared" si="0"/>
        <v>7142.55</v>
      </c>
      <c r="R18" s="41"/>
      <c r="S18" s="46">
        <v>6</v>
      </c>
      <c r="T18" s="47" t="s">
        <v>27</v>
      </c>
      <c r="U18" s="49">
        <v>2225.51</v>
      </c>
      <c r="V18" s="48">
        <v>2142.09</v>
      </c>
      <c r="W18" s="39">
        <v>2032.85</v>
      </c>
      <c r="X18" s="50"/>
      <c r="Y18" s="50"/>
      <c r="Z18" s="50"/>
      <c r="AA18" s="50"/>
      <c r="AB18" s="51"/>
      <c r="AC18" s="51"/>
      <c r="AD18" s="51"/>
      <c r="AE18" s="51"/>
      <c r="AF18" s="51"/>
      <c r="AG18" s="39">
        <f t="shared" si="1"/>
        <v>6400.45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" customHeight="1">
      <c r="A19" s="46">
        <v>7</v>
      </c>
      <c r="B19" s="47" t="s">
        <v>28</v>
      </c>
      <c r="C19" s="48">
        <v>12002.32</v>
      </c>
      <c r="D19" s="48">
        <v>12002.32</v>
      </c>
      <c r="E19" s="48">
        <v>12002.32</v>
      </c>
      <c r="F19" s="48"/>
      <c r="G19" s="48"/>
      <c r="H19" s="48"/>
      <c r="I19" s="48"/>
      <c r="J19" s="48"/>
      <c r="K19" s="48"/>
      <c r="L19" s="48"/>
      <c r="M19" s="48"/>
      <c r="N19" s="48"/>
      <c r="O19" s="48">
        <f>562.69+28.82+591.53+591.53</f>
        <v>1774.57</v>
      </c>
      <c r="P19" s="48"/>
      <c r="Q19" s="40">
        <f t="shared" si="0"/>
        <v>37781.53</v>
      </c>
      <c r="R19" s="41"/>
      <c r="S19" s="46">
        <v>7</v>
      </c>
      <c r="T19" s="47" t="s">
        <v>28</v>
      </c>
      <c r="U19" s="49">
        <v>11572.9</v>
      </c>
      <c r="V19" s="48">
        <v>11052.17</v>
      </c>
      <c r="W19" s="39">
        <v>12436.27</v>
      </c>
      <c r="X19" s="50"/>
      <c r="Y19" s="50"/>
      <c r="Z19" s="50"/>
      <c r="AA19" s="50"/>
      <c r="AB19" s="51"/>
      <c r="AC19" s="51"/>
      <c r="AD19" s="51"/>
      <c r="AE19" s="51"/>
      <c r="AF19" s="51"/>
      <c r="AG19" s="39">
        <f t="shared" si="1"/>
        <v>35061.34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" customHeight="1">
      <c r="A20" s="46">
        <v>8</v>
      </c>
      <c r="B20" s="47" t="s">
        <v>29</v>
      </c>
      <c r="C20" s="48">
        <v>3828.79</v>
      </c>
      <c r="D20" s="48">
        <v>3828.79</v>
      </c>
      <c r="E20" s="48">
        <v>3828.79</v>
      </c>
      <c r="F20" s="48"/>
      <c r="G20" s="48"/>
      <c r="H20" s="48"/>
      <c r="I20" s="48"/>
      <c r="J20" s="48"/>
      <c r="K20" s="48"/>
      <c r="L20" s="48"/>
      <c r="M20" s="48"/>
      <c r="N20" s="48"/>
      <c r="O20" s="48">
        <f>315.24+16.16+331.4+331.4</f>
        <v>994.2</v>
      </c>
      <c r="P20" s="48"/>
      <c r="Q20" s="40">
        <f t="shared" si="0"/>
        <v>12480.57</v>
      </c>
      <c r="R20" s="41"/>
      <c r="S20" s="46">
        <v>8</v>
      </c>
      <c r="T20" s="47" t="s">
        <v>29</v>
      </c>
      <c r="U20" s="49">
        <v>4237.23</v>
      </c>
      <c r="V20" s="48">
        <v>4119.87</v>
      </c>
      <c r="W20" s="39">
        <v>3456.66</v>
      </c>
      <c r="X20" s="50"/>
      <c r="Y20" s="50"/>
      <c r="Z20" s="50"/>
      <c r="AA20" s="50"/>
      <c r="AB20" s="51"/>
      <c r="AC20" s="51"/>
      <c r="AD20" s="51"/>
      <c r="AE20" s="51"/>
      <c r="AF20" s="51"/>
      <c r="AG20" s="39">
        <f t="shared" si="1"/>
        <v>11813.76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" customHeight="1">
      <c r="A21" s="46">
        <v>9</v>
      </c>
      <c r="B21" s="47" t="s">
        <v>30</v>
      </c>
      <c r="C21" s="48">
        <v>5664.6</v>
      </c>
      <c r="D21" s="48">
        <v>5664.6</v>
      </c>
      <c r="E21" s="48">
        <v>5664.6</v>
      </c>
      <c r="F21" s="48"/>
      <c r="G21" s="48"/>
      <c r="H21" s="48"/>
      <c r="I21" s="48"/>
      <c r="J21" s="48"/>
      <c r="K21" s="48"/>
      <c r="L21" s="48"/>
      <c r="M21" s="48"/>
      <c r="N21" s="48"/>
      <c r="O21" s="48">
        <f>300.85+17.27+103.44+421.56+421.56</f>
        <v>1264.68</v>
      </c>
      <c r="P21" s="48"/>
      <c r="Q21" s="40">
        <f t="shared" si="0"/>
        <v>18258.48</v>
      </c>
      <c r="R21" s="41"/>
      <c r="S21" s="46">
        <v>9</v>
      </c>
      <c r="T21" s="47" t="s">
        <v>30</v>
      </c>
      <c r="U21" s="49">
        <v>5151.39</v>
      </c>
      <c r="V21" s="48">
        <v>4636</v>
      </c>
      <c r="W21" s="39">
        <v>5168.76</v>
      </c>
      <c r="X21" s="50"/>
      <c r="Y21" s="50"/>
      <c r="Z21" s="50"/>
      <c r="AA21" s="50"/>
      <c r="AB21" s="51"/>
      <c r="AC21" s="51"/>
      <c r="AD21" s="51"/>
      <c r="AE21" s="51"/>
      <c r="AF21" s="51"/>
      <c r="AG21" s="39">
        <f t="shared" si="1"/>
        <v>14956.15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" customHeight="1">
      <c r="A22" s="46">
        <v>10</v>
      </c>
      <c r="B22" s="47" t="s">
        <v>31</v>
      </c>
      <c r="C22" s="48">
        <v>2351.52</v>
      </c>
      <c r="D22" s="48">
        <v>2351.52</v>
      </c>
      <c r="E22" s="48">
        <v>2351.52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0">
        <f t="shared" si="0"/>
        <v>7054.56</v>
      </c>
      <c r="R22" s="41"/>
      <c r="S22" s="46">
        <v>10</v>
      </c>
      <c r="T22" s="47" t="s">
        <v>31</v>
      </c>
      <c r="U22" s="49">
        <v>2071.46</v>
      </c>
      <c r="V22" s="48">
        <v>1951.63</v>
      </c>
      <c r="W22" s="39">
        <v>2036.7</v>
      </c>
      <c r="X22" s="50"/>
      <c r="Y22" s="50"/>
      <c r="Z22" s="50"/>
      <c r="AA22" s="50"/>
      <c r="AB22" s="51"/>
      <c r="AC22" s="51"/>
      <c r="AD22" s="51"/>
      <c r="AE22" s="51"/>
      <c r="AF22" s="51"/>
      <c r="AG22" s="39">
        <f t="shared" si="1"/>
        <v>6059.79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" customHeight="1">
      <c r="A23" s="46">
        <v>11</v>
      </c>
      <c r="B23" s="47" t="s">
        <v>32</v>
      </c>
      <c r="C23" s="48">
        <v>2314.72</v>
      </c>
      <c r="D23" s="48">
        <v>2314.72</v>
      </c>
      <c r="E23" s="48">
        <v>2314.72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0">
        <f t="shared" si="0"/>
        <v>6944.16</v>
      </c>
      <c r="R23" s="41"/>
      <c r="S23" s="46">
        <v>11</v>
      </c>
      <c r="T23" s="47" t="s">
        <v>32</v>
      </c>
      <c r="U23" s="49">
        <v>2146.81</v>
      </c>
      <c r="V23" s="48">
        <v>2036.62</v>
      </c>
      <c r="W23" s="39">
        <v>2120.91</v>
      </c>
      <c r="X23" s="50"/>
      <c r="Y23" s="50"/>
      <c r="Z23" s="50"/>
      <c r="AA23" s="50"/>
      <c r="AB23" s="51"/>
      <c r="AC23" s="51"/>
      <c r="AD23" s="51"/>
      <c r="AE23" s="51"/>
      <c r="AF23" s="51"/>
      <c r="AG23" s="39">
        <f t="shared" si="1"/>
        <v>6304.34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" customHeight="1">
      <c r="A24" s="46">
        <v>12</v>
      </c>
      <c r="B24" s="47" t="s">
        <v>33</v>
      </c>
      <c r="C24" s="48">
        <v>2326.68</v>
      </c>
      <c r="D24" s="48">
        <v>2326.68</v>
      </c>
      <c r="E24" s="48">
        <v>2326.68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0">
        <f t="shared" si="0"/>
        <v>6980.04</v>
      </c>
      <c r="R24" s="41"/>
      <c r="S24" s="46">
        <v>12</v>
      </c>
      <c r="T24" s="47" t="s">
        <v>33</v>
      </c>
      <c r="U24" s="49">
        <v>2041.01</v>
      </c>
      <c r="V24" s="48">
        <v>1903.65</v>
      </c>
      <c r="W24" s="39">
        <v>1999.24</v>
      </c>
      <c r="X24" s="50"/>
      <c r="Y24" s="50"/>
      <c r="Z24" s="50"/>
      <c r="AA24" s="50"/>
      <c r="AB24" s="51"/>
      <c r="AC24" s="51"/>
      <c r="AD24" s="51"/>
      <c r="AE24" s="51"/>
      <c r="AF24" s="51"/>
      <c r="AG24" s="39">
        <f t="shared" si="1"/>
        <v>5943.9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" customHeight="1">
      <c r="A25" s="46">
        <v>13</v>
      </c>
      <c r="B25" s="47" t="s">
        <v>34</v>
      </c>
      <c r="C25" s="48">
        <v>2489.52</v>
      </c>
      <c r="D25" s="48">
        <v>2489.52</v>
      </c>
      <c r="E25" s="48">
        <v>2489.52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0">
        <f t="shared" si="0"/>
        <v>7468.56</v>
      </c>
      <c r="R25" s="41"/>
      <c r="S25" s="46">
        <v>13</v>
      </c>
      <c r="T25" s="47" t="s">
        <v>34</v>
      </c>
      <c r="U25" s="49">
        <v>2456.28</v>
      </c>
      <c r="V25" s="48">
        <v>2342.35</v>
      </c>
      <c r="W25" s="39">
        <v>2425.78</v>
      </c>
      <c r="X25" s="50"/>
      <c r="Y25" s="50"/>
      <c r="Z25" s="50"/>
      <c r="AA25" s="50"/>
      <c r="AB25" s="51"/>
      <c r="AC25" s="51"/>
      <c r="AD25" s="51"/>
      <c r="AE25" s="51"/>
      <c r="AF25" s="51"/>
      <c r="AG25" s="39">
        <f t="shared" si="1"/>
        <v>7224.41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" customHeight="1">
      <c r="A26" s="46">
        <v>14</v>
      </c>
      <c r="B26" s="47" t="s">
        <v>35</v>
      </c>
      <c r="C26" s="48">
        <v>2304.6</v>
      </c>
      <c r="D26" s="48">
        <v>2304.6</v>
      </c>
      <c r="E26" s="48">
        <v>2304.6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0">
        <f t="shared" si="0"/>
        <v>6913.8</v>
      </c>
      <c r="R26" s="41"/>
      <c r="S26" s="46">
        <v>14</v>
      </c>
      <c r="T26" s="47" t="s">
        <v>35</v>
      </c>
      <c r="U26" s="49">
        <v>2169.41</v>
      </c>
      <c r="V26" s="48">
        <v>2059.13</v>
      </c>
      <c r="W26" s="39">
        <v>2138.57</v>
      </c>
      <c r="X26" s="50"/>
      <c r="Y26" s="50"/>
      <c r="Z26" s="50"/>
      <c r="AA26" s="50"/>
      <c r="AB26" s="51"/>
      <c r="AC26" s="51"/>
      <c r="AD26" s="51"/>
      <c r="AE26" s="51"/>
      <c r="AF26" s="51"/>
      <c r="AG26" s="39">
        <f t="shared" si="1"/>
        <v>6367.11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" customHeight="1">
      <c r="A27" s="46">
        <v>15</v>
      </c>
      <c r="B27" s="47" t="s">
        <v>36</v>
      </c>
      <c r="C27" s="48">
        <v>42036.73</v>
      </c>
      <c r="D27" s="48">
        <v>42036.73</v>
      </c>
      <c r="E27" s="48">
        <v>42036.73</v>
      </c>
      <c r="F27" s="48"/>
      <c r="G27" s="48"/>
      <c r="H27" s="48"/>
      <c r="I27" s="48"/>
      <c r="J27" s="48"/>
      <c r="K27" s="48"/>
      <c r="L27" s="48"/>
      <c r="M27" s="48"/>
      <c r="N27" s="48"/>
      <c r="O27" s="48">
        <f>3132.68+112.56+674.68+3085.98+110.88+664.62+3890.7</f>
        <v>11672.1</v>
      </c>
      <c r="P27" s="48">
        <f>280.6+309.82+309.82</f>
        <v>900.24</v>
      </c>
      <c r="Q27" s="40">
        <f t="shared" si="0"/>
        <v>138682.53</v>
      </c>
      <c r="R27" s="41"/>
      <c r="S27" s="46">
        <v>15</v>
      </c>
      <c r="T27" s="47" t="s">
        <v>36</v>
      </c>
      <c r="U27" s="49">
        <v>39784.36</v>
      </c>
      <c r="V27" s="48">
        <v>35506.57</v>
      </c>
      <c r="W27" s="39">
        <v>38665.04</v>
      </c>
      <c r="X27" s="50"/>
      <c r="Y27" s="50"/>
      <c r="Z27" s="50"/>
      <c r="AA27" s="50"/>
      <c r="AB27" s="51"/>
      <c r="AC27" s="51"/>
      <c r="AD27" s="51"/>
      <c r="AE27" s="51"/>
      <c r="AF27" s="51"/>
      <c r="AG27" s="39">
        <f t="shared" si="1"/>
        <v>113955.97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" customHeight="1">
      <c r="A28" s="46">
        <v>16</v>
      </c>
      <c r="B28" s="47" t="s">
        <v>37</v>
      </c>
      <c r="C28" s="48">
        <v>13123.86</v>
      </c>
      <c r="D28" s="48">
        <v>13123.85</v>
      </c>
      <c r="E28" s="48">
        <v>13123.85</v>
      </c>
      <c r="F28" s="48"/>
      <c r="G28" s="48"/>
      <c r="H28" s="48"/>
      <c r="I28" s="48"/>
      <c r="J28" s="48"/>
      <c r="K28" s="48"/>
      <c r="L28" s="48"/>
      <c r="M28" s="48"/>
      <c r="N28" s="48"/>
      <c r="O28" s="48">
        <f>535.28+27.37+181.61+743.97+746.31</f>
        <v>2234.54</v>
      </c>
      <c r="P28" s="48"/>
      <c r="Q28" s="40">
        <f t="shared" si="0"/>
        <v>41606.1</v>
      </c>
      <c r="R28" s="41"/>
      <c r="S28" s="46">
        <v>16</v>
      </c>
      <c r="T28" s="47" t="s">
        <v>37</v>
      </c>
      <c r="U28" s="49">
        <v>11506.54</v>
      </c>
      <c r="V28" s="48">
        <v>10826.16</v>
      </c>
      <c r="W28" s="39">
        <v>11589.18</v>
      </c>
      <c r="X28" s="50"/>
      <c r="Y28" s="50"/>
      <c r="Z28" s="50"/>
      <c r="AA28" s="50"/>
      <c r="AB28" s="51"/>
      <c r="AC28" s="51"/>
      <c r="AD28" s="51"/>
      <c r="AE28" s="51"/>
      <c r="AF28" s="51"/>
      <c r="AG28" s="39">
        <f t="shared" si="1"/>
        <v>33921.88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" customHeight="1">
      <c r="A29" s="46">
        <v>17</v>
      </c>
      <c r="B29" s="47" t="s">
        <v>38</v>
      </c>
      <c r="C29" s="48">
        <v>2286.19</v>
      </c>
      <c r="D29" s="48">
        <v>2286.19</v>
      </c>
      <c r="E29" s="48">
        <v>2286.19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0">
        <f t="shared" si="0"/>
        <v>6858.57</v>
      </c>
      <c r="R29" s="41"/>
      <c r="S29" s="46">
        <v>17</v>
      </c>
      <c r="T29" s="47" t="s">
        <v>38</v>
      </c>
      <c r="U29" s="49">
        <v>2218.53</v>
      </c>
      <c r="V29" s="48">
        <v>2365.33</v>
      </c>
      <c r="W29" s="39">
        <v>2415.91</v>
      </c>
      <c r="X29" s="50"/>
      <c r="Y29" s="50"/>
      <c r="Z29" s="50"/>
      <c r="AA29" s="50"/>
      <c r="AB29" s="51"/>
      <c r="AC29" s="51"/>
      <c r="AD29" s="51"/>
      <c r="AE29" s="51"/>
      <c r="AF29" s="51"/>
      <c r="AG29" s="39">
        <f t="shared" si="1"/>
        <v>6999.77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" customHeight="1">
      <c r="A30" s="46">
        <v>18</v>
      </c>
      <c r="B30" s="47" t="s">
        <v>39</v>
      </c>
      <c r="C30" s="48">
        <v>2268.5</v>
      </c>
      <c r="D30" s="48">
        <v>2268.5</v>
      </c>
      <c r="E30" s="48">
        <v>2268.5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0">
        <f t="shared" si="0"/>
        <v>6805.5</v>
      </c>
      <c r="R30" s="41"/>
      <c r="S30" s="46">
        <v>18</v>
      </c>
      <c r="T30" s="47" t="s">
        <v>39</v>
      </c>
      <c r="U30" s="49">
        <v>1965.15</v>
      </c>
      <c r="V30" s="48">
        <v>1851.86</v>
      </c>
      <c r="W30" s="39">
        <v>1932.18</v>
      </c>
      <c r="X30" s="50"/>
      <c r="Y30" s="50"/>
      <c r="Z30" s="50"/>
      <c r="AA30" s="50"/>
      <c r="AB30" s="51"/>
      <c r="AC30" s="51"/>
      <c r="AD30" s="51"/>
      <c r="AE30" s="51"/>
      <c r="AF30" s="51"/>
      <c r="AG30" s="39">
        <f t="shared" si="1"/>
        <v>5749.19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" customHeight="1">
      <c r="A31" s="46">
        <v>19</v>
      </c>
      <c r="B31" s="47" t="s">
        <v>40</v>
      </c>
      <c r="C31" s="48">
        <v>12295.88</v>
      </c>
      <c r="D31" s="48">
        <v>12295.88</v>
      </c>
      <c r="E31" s="48">
        <v>12295.88</v>
      </c>
      <c r="F31" s="48"/>
      <c r="G31" s="48"/>
      <c r="H31" s="48"/>
      <c r="I31" s="48"/>
      <c r="J31" s="48"/>
      <c r="K31" s="48"/>
      <c r="L31" s="48"/>
      <c r="M31" s="48"/>
      <c r="N31" s="48"/>
      <c r="O31" s="48">
        <f>640.93+31.7+578.89+28.56+628.95</f>
        <v>1909.03</v>
      </c>
      <c r="P31" s="48">
        <f>886.93+930.65+930.65</f>
        <v>2748.23</v>
      </c>
      <c r="Q31" s="40">
        <f t="shared" si="0"/>
        <v>41544.9</v>
      </c>
      <c r="R31" s="41"/>
      <c r="S31" s="46">
        <v>19</v>
      </c>
      <c r="T31" s="47" t="s">
        <v>40</v>
      </c>
      <c r="U31" s="49">
        <v>13373.79</v>
      </c>
      <c r="V31" s="48">
        <v>14520.58</v>
      </c>
      <c r="W31" s="39">
        <v>13735.59</v>
      </c>
      <c r="X31" s="50"/>
      <c r="Y31" s="50"/>
      <c r="Z31" s="50"/>
      <c r="AA31" s="50"/>
      <c r="AB31" s="51"/>
      <c r="AC31" s="51"/>
      <c r="AD31" s="51"/>
      <c r="AE31" s="51"/>
      <c r="AF31" s="51"/>
      <c r="AG31" s="39">
        <f t="shared" si="1"/>
        <v>41629.96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" customHeight="1">
      <c r="A32" s="46">
        <v>20</v>
      </c>
      <c r="B32" s="47" t="s">
        <v>41</v>
      </c>
      <c r="C32" s="48">
        <v>11111.76</v>
      </c>
      <c r="D32" s="48">
        <v>11111.76</v>
      </c>
      <c r="E32" s="48">
        <v>11111.76</v>
      </c>
      <c r="F32" s="48"/>
      <c r="G32" s="48"/>
      <c r="H32" s="48"/>
      <c r="I32" s="48"/>
      <c r="J32" s="48"/>
      <c r="K32" s="48"/>
      <c r="L32" s="48"/>
      <c r="M32" s="48"/>
      <c r="N32" s="48"/>
      <c r="O32" s="48">
        <f>623.93+31.8+194.84+812.37+812.37</f>
        <v>2475.31</v>
      </c>
      <c r="P32" s="48">
        <f>531.53+560.76+560.76</f>
        <v>1653.05</v>
      </c>
      <c r="Q32" s="40">
        <f t="shared" si="0"/>
        <v>37463.64</v>
      </c>
      <c r="R32" s="41"/>
      <c r="S32" s="46">
        <v>20</v>
      </c>
      <c r="T32" s="47" t="s">
        <v>41</v>
      </c>
      <c r="U32" s="49">
        <v>13569.51</v>
      </c>
      <c r="V32" s="48">
        <v>12131.6</v>
      </c>
      <c r="W32" s="39">
        <v>11507.76</v>
      </c>
      <c r="X32" s="50"/>
      <c r="Y32" s="50"/>
      <c r="Z32" s="50"/>
      <c r="AA32" s="50"/>
      <c r="AB32" s="51"/>
      <c r="AC32" s="51"/>
      <c r="AD32" s="51"/>
      <c r="AE32" s="51"/>
      <c r="AF32" s="51"/>
      <c r="AG32" s="39">
        <f t="shared" si="1"/>
        <v>37208.87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" customHeight="1">
      <c r="A33" s="46">
        <v>21</v>
      </c>
      <c r="B33" s="47" t="s">
        <v>42</v>
      </c>
      <c r="C33" s="48">
        <v>10708.98</v>
      </c>
      <c r="D33" s="48">
        <v>10708.98</v>
      </c>
      <c r="E33" s="48">
        <v>10708.98</v>
      </c>
      <c r="F33" s="48"/>
      <c r="G33" s="48"/>
      <c r="H33" s="48"/>
      <c r="I33" s="48"/>
      <c r="J33" s="48"/>
      <c r="K33" s="48"/>
      <c r="L33" s="48"/>
      <c r="M33" s="48"/>
      <c r="N33" s="48"/>
      <c r="O33" s="48">
        <f>593.32+30.38+186.02+735.49+735.49</f>
        <v>2280.7</v>
      </c>
      <c r="P33" s="48">
        <f>1005.45+1025.9+1025.9</f>
        <v>3057.25</v>
      </c>
      <c r="Q33" s="40">
        <f t="shared" si="0"/>
        <v>37464.89</v>
      </c>
      <c r="R33" s="41"/>
      <c r="S33" s="46">
        <v>21</v>
      </c>
      <c r="T33" s="47" t="s">
        <v>42</v>
      </c>
      <c r="U33" s="49">
        <v>14129.16</v>
      </c>
      <c r="V33" s="48">
        <v>14584.56</v>
      </c>
      <c r="W33" s="39">
        <v>12001.86</v>
      </c>
      <c r="X33" s="50"/>
      <c r="Y33" s="50"/>
      <c r="Z33" s="50"/>
      <c r="AA33" s="50"/>
      <c r="AB33" s="51"/>
      <c r="AC33" s="51"/>
      <c r="AD33" s="51"/>
      <c r="AE33" s="51"/>
      <c r="AF33" s="51"/>
      <c r="AG33" s="39">
        <f t="shared" si="1"/>
        <v>40715.58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" customHeight="1">
      <c r="A34" s="46">
        <v>22</v>
      </c>
      <c r="B34" s="47" t="s">
        <v>43</v>
      </c>
      <c r="C34" s="48">
        <v>11658.24</v>
      </c>
      <c r="D34" s="48">
        <v>11658.24</v>
      </c>
      <c r="E34" s="48">
        <v>11658.24</v>
      </c>
      <c r="F34" s="48"/>
      <c r="G34" s="48"/>
      <c r="H34" s="48"/>
      <c r="I34" s="48"/>
      <c r="J34" s="48"/>
      <c r="K34" s="48"/>
      <c r="L34" s="48"/>
      <c r="M34" s="48"/>
      <c r="N34" s="48"/>
      <c r="O34" s="48">
        <f>633.04+31.33+664.37+664.37</f>
        <v>1993.11</v>
      </c>
      <c r="P34" s="48"/>
      <c r="Q34" s="40">
        <f t="shared" si="0"/>
        <v>36967.83</v>
      </c>
      <c r="R34" s="41"/>
      <c r="S34" s="46">
        <v>22</v>
      </c>
      <c r="T34" s="47" t="s">
        <v>43</v>
      </c>
      <c r="U34" s="49">
        <v>13913.99</v>
      </c>
      <c r="V34" s="48">
        <v>15527.15</v>
      </c>
      <c r="W34" s="39">
        <v>12716.35</v>
      </c>
      <c r="X34" s="50"/>
      <c r="Y34" s="50"/>
      <c r="Z34" s="50"/>
      <c r="AA34" s="50"/>
      <c r="AB34" s="51"/>
      <c r="AC34" s="51"/>
      <c r="AD34" s="51"/>
      <c r="AE34" s="51"/>
      <c r="AF34" s="51"/>
      <c r="AG34" s="39">
        <f t="shared" si="1"/>
        <v>42157.49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" customHeight="1">
      <c r="A35" s="46">
        <v>23</v>
      </c>
      <c r="B35" s="47" t="s">
        <v>44</v>
      </c>
      <c r="C35" s="48">
        <v>30609.21</v>
      </c>
      <c r="D35" s="48">
        <v>30580.23</v>
      </c>
      <c r="E35" s="48">
        <v>30583.34</v>
      </c>
      <c r="F35" s="48"/>
      <c r="G35" s="48"/>
      <c r="H35" s="48"/>
      <c r="I35" s="48"/>
      <c r="J35" s="48"/>
      <c r="K35" s="48"/>
      <c r="L35" s="48"/>
      <c r="M35" s="48"/>
      <c r="N35" s="48"/>
      <c r="O35" s="48">
        <f>1733.08+85.21+549.15+2276.78+2345.55</f>
        <v>6989.77</v>
      </c>
      <c r="P35" s="48"/>
      <c r="Q35" s="40">
        <f t="shared" si="0"/>
        <v>98762.55</v>
      </c>
      <c r="R35" s="41"/>
      <c r="S35" s="46">
        <v>23</v>
      </c>
      <c r="T35" s="47" t="s">
        <v>44</v>
      </c>
      <c r="U35" s="49">
        <v>28229.8</v>
      </c>
      <c r="V35" s="48">
        <v>28555.82</v>
      </c>
      <c r="W35" s="39">
        <v>27695.33</v>
      </c>
      <c r="X35" s="50"/>
      <c r="Y35" s="50"/>
      <c r="Z35" s="50"/>
      <c r="AA35" s="50"/>
      <c r="AB35" s="51"/>
      <c r="AC35" s="51"/>
      <c r="AD35" s="51"/>
      <c r="AE35" s="51"/>
      <c r="AF35" s="51"/>
      <c r="AG35" s="39">
        <f t="shared" si="1"/>
        <v>84480.95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" customHeight="1">
      <c r="A36" s="46">
        <v>24</v>
      </c>
      <c r="B36" s="47" t="s">
        <v>45</v>
      </c>
      <c r="C36" s="48">
        <v>11011.48</v>
      </c>
      <c r="D36" s="48">
        <v>11002.28</v>
      </c>
      <c r="E36" s="48">
        <v>11002.28</v>
      </c>
      <c r="F36" s="48"/>
      <c r="G36" s="48"/>
      <c r="H36" s="48"/>
      <c r="I36" s="48"/>
      <c r="J36" s="48"/>
      <c r="K36" s="48"/>
      <c r="L36" s="48"/>
      <c r="M36" s="48"/>
      <c r="N36" s="48"/>
      <c r="O36" s="48">
        <f>593.18+29.64+549.41+549.41</f>
        <v>1721.64</v>
      </c>
      <c r="P36" s="48">
        <f>688.16+724.84+724.84</f>
        <v>2137.84</v>
      </c>
      <c r="Q36" s="40">
        <f t="shared" si="0"/>
        <v>36875.52</v>
      </c>
      <c r="R36" s="41"/>
      <c r="S36" s="46">
        <v>24</v>
      </c>
      <c r="T36" s="47" t="s">
        <v>45</v>
      </c>
      <c r="U36" s="49">
        <v>16617.63</v>
      </c>
      <c r="V36" s="48">
        <v>14213.79</v>
      </c>
      <c r="W36" s="39">
        <v>13412.39</v>
      </c>
      <c r="X36" s="50"/>
      <c r="Y36" s="50"/>
      <c r="Z36" s="50"/>
      <c r="AA36" s="50"/>
      <c r="AB36" s="51"/>
      <c r="AC36" s="51"/>
      <c r="AD36" s="51"/>
      <c r="AE36" s="51"/>
      <c r="AF36" s="51"/>
      <c r="AG36" s="39">
        <f t="shared" si="1"/>
        <v>44243.81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" customHeight="1">
      <c r="A37" s="46">
        <v>25</v>
      </c>
      <c r="B37" s="47" t="s">
        <v>46</v>
      </c>
      <c r="C37" s="48">
        <v>37875.48</v>
      </c>
      <c r="D37" s="48">
        <v>37875.48</v>
      </c>
      <c r="E37" s="48">
        <v>37875.48</v>
      </c>
      <c r="F37" s="48"/>
      <c r="G37" s="48"/>
      <c r="H37" s="48"/>
      <c r="I37" s="48"/>
      <c r="J37" s="48"/>
      <c r="K37" s="48"/>
      <c r="L37" s="48"/>
      <c r="M37" s="48"/>
      <c r="N37" s="48"/>
      <c r="O37" s="48">
        <f>3394.22+107.52+658.33+4160.07+4160.07</f>
        <v>12480.21</v>
      </c>
      <c r="P37" s="48"/>
      <c r="Q37" s="40">
        <f t="shared" si="0"/>
        <v>126106.65</v>
      </c>
      <c r="R37" s="41"/>
      <c r="S37" s="46">
        <v>25</v>
      </c>
      <c r="T37" s="47" t="s">
        <v>46</v>
      </c>
      <c r="U37" s="49">
        <v>44491.22</v>
      </c>
      <c r="V37" s="48">
        <v>45592.95</v>
      </c>
      <c r="W37" s="39">
        <v>47269.38</v>
      </c>
      <c r="X37" s="50"/>
      <c r="Y37" s="50"/>
      <c r="Z37" s="50"/>
      <c r="AA37" s="50"/>
      <c r="AB37" s="51"/>
      <c r="AC37" s="51"/>
      <c r="AD37" s="51"/>
      <c r="AE37" s="51"/>
      <c r="AF37" s="51"/>
      <c r="AG37" s="39">
        <f t="shared" si="1"/>
        <v>137353.55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" customHeight="1">
      <c r="A38" s="46">
        <v>26</v>
      </c>
      <c r="B38" s="47" t="s">
        <v>47</v>
      </c>
      <c r="C38" s="48">
        <v>11606.72</v>
      </c>
      <c r="D38" s="48">
        <v>11606.72</v>
      </c>
      <c r="E38" s="48">
        <v>11606.72</v>
      </c>
      <c r="F38" s="48"/>
      <c r="G38" s="48"/>
      <c r="H38" s="48"/>
      <c r="I38" s="48"/>
      <c r="J38" s="48"/>
      <c r="K38" s="48"/>
      <c r="L38" s="48"/>
      <c r="M38" s="48"/>
      <c r="N38" s="48"/>
      <c r="O38" s="48">
        <f>633.11+32.41+665.52+665.52</f>
        <v>1996.56</v>
      </c>
      <c r="P38" s="48"/>
      <c r="Q38" s="40">
        <f t="shared" si="0"/>
        <v>36816.72</v>
      </c>
      <c r="R38" s="41"/>
      <c r="S38" s="46">
        <v>26</v>
      </c>
      <c r="T38" s="47" t="s">
        <v>47</v>
      </c>
      <c r="U38" s="49">
        <v>12098.02</v>
      </c>
      <c r="V38" s="48">
        <v>13046.28</v>
      </c>
      <c r="W38" s="39">
        <v>11823.97</v>
      </c>
      <c r="X38" s="50"/>
      <c r="Y38" s="50"/>
      <c r="Z38" s="50"/>
      <c r="AA38" s="50"/>
      <c r="AB38" s="51"/>
      <c r="AC38" s="51"/>
      <c r="AD38" s="51"/>
      <c r="AE38" s="51"/>
      <c r="AF38" s="51"/>
      <c r="AG38" s="39">
        <f t="shared" si="1"/>
        <v>36968.27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" customHeight="1">
      <c r="A39" s="46">
        <v>27</v>
      </c>
      <c r="B39" s="47" t="s">
        <v>48</v>
      </c>
      <c r="C39" s="48">
        <v>13175.64</v>
      </c>
      <c r="D39" s="48">
        <v>13175.64</v>
      </c>
      <c r="E39" s="48">
        <v>13175.64</v>
      </c>
      <c r="F39" s="48"/>
      <c r="G39" s="48"/>
      <c r="H39" s="48"/>
      <c r="I39" s="48"/>
      <c r="J39" s="48"/>
      <c r="K39" s="48"/>
      <c r="L39" s="48"/>
      <c r="M39" s="48"/>
      <c r="N39" s="48"/>
      <c r="O39" s="48">
        <f>575.53+29.47+605+605</f>
        <v>1815</v>
      </c>
      <c r="P39" s="48"/>
      <c r="Q39" s="40">
        <f t="shared" si="0"/>
        <v>41341.92</v>
      </c>
      <c r="R39" s="41"/>
      <c r="S39" s="46">
        <v>27</v>
      </c>
      <c r="T39" s="47" t="s">
        <v>48</v>
      </c>
      <c r="U39" s="49">
        <v>13863.45</v>
      </c>
      <c r="V39" s="48">
        <v>15299.63</v>
      </c>
      <c r="W39" s="39">
        <v>13940.28</v>
      </c>
      <c r="X39" s="50"/>
      <c r="Y39" s="50"/>
      <c r="Z39" s="50"/>
      <c r="AA39" s="50"/>
      <c r="AB39" s="51"/>
      <c r="AC39" s="51"/>
      <c r="AD39" s="51"/>
      <c r="AE39" s="51"/>
      <c r="AF39" s="51"/>
      <c r="AG39" s="39">
        <f t="shared" si="1"/>
        <v>43103.36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" customHeight="1">
      <c r="A40" s="46">
        <v>28</v>
      </c>
      <c r="B40" s="47" t="s">
        <v>49</v>
      </c>
      <c r="C40" s="48">
        <v>4828.7</v>
      </c>
      <c r="D40" s="48">
        <v>4828.7</v>
      </c>
      <c r="E40" s="48">
        <v>4828.7</v>
      </c>
      <c r="F40" s="48"/>
      <c r="G40" s="48"/>
      <c r="H40" s="48"/>
      <c r="I40" s="48"/>
      <c r="J40" s="48"/>
      <c r="K40" s="48"/>
      <c r="L40" s="48"/>
      <c r="M40" s="48"/>
      <c r="N40" s="48"/>
      <c r="O40" s="48">
        <f>421.81+19.79+370.2+370.2</f>
        <v>1182</v>
      </c>
      <c r="P40" s="48">
        <f>456.27+478.21+478.21</f>
        <v>1412.69</v>
      </c>
      <c r="Q40" s="40">
        <f t="shared" si="0"/>
        <v>17080.79</v>
      </c>
      <c r="R40" s="41"/>
      <c r="S40" s="46">
        <v>28</v>
      </c>
      <c r="T40" s="47" t="s">
        <v>49</v>
      </c>
      <c r="U40" s="49">
        <v>4504.78</v>
      </c>
      <c r="V40" s="48">
        <v>4135.27</v>
      </c>
      <c r="W40" s="39">
        <v>4319.62</v>
      </c>
      <c r="X40" s="50"/>
      <c r="Y40" s="50"/>
      <c r="Z40" s="50"/>
      <c r="AA40" s="50"/>
      <c r="AB40" s="51"/>
      <c r="AC40" s="51"/>
      <c r="AD40" s="51"/>
      <c r="AE40" s="51"/>
      <c r="AF40" s="51"/>
      <c r="AG40" s="39">
        <f t="shared" si="1"/>
        <v>12959.67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>
      <c r="A41" s="46">
        <v>29</v>
      </c>
      <c r="B41" s="47" t="s">
        <v>50</v>
      </c>
      <c r="C41" s="48">
        <v>5424.88</v>
      </c>
      <c r="D41" s="48">
        <v>5424.88</v>
      </c>
      <c r="E41" s="48">
        <v>5424.88</v>
      </c>
      <c r="F41" s="48"/>
      <c r="G41" s="48"/>
      <c r="H41" s="48"/>
      <c r="I41" s="48"/>
      <c r="J41" s="48"/>
      <c r="K41" s="48"/>
      <c r="L41" s="48"/>
      <c r="M41" s="48"/>
      <c r="N41" s="48"/>
      <c r="O41" s="48">
        <f>379.05+19.4+118.85+517.3+517.3</f>
        <v>1551.9</v>
      </c>
      <c r="P41" s="48"/>
      <c r="Q41" s="40">
        <f t="shared" si="0"/>
        <v>17826.54</v>
      </c>
      <c r="R41" s="41"/>
      <c r="S41" s="46">
        <v>29</v>
      </c>
      <c r="T41" s="47" t="s">
        <v>50</v>
      </c>
      <c r="U41" s="49">
        <v>6740.97</v>
      </c>
      <c r="V41" s="48">
        <v>6180.53</v>
      </c>
      <c r="W41" s="39">
        <v>5599.83</v>
      </c>
      <c r="X41" s="50"/>
      <c r="Y41" s="50"/>
      <c r="Z41" s="50"/>
      <c r="AA41" s="50"/>
      <c r="AB41" s="51"/>
      <c r="AC41" s="51"/>
      <c r="AD41" s="51"/>
      <c r="AE41" s="51"/>
      <c r="AF41" s="51"/>
      <c r="AG41" s="39">
        <f t="shared" si="1"/>
        <v>18521.33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>
      <c r="A42" s="46">
        <v>30</v>
      </c>
      <c r="B42" s="47" t="s">
        <v>51</v>
      </c>
      <c r="C42" s="48">
        <v>2284.16</v>
      </c>
      <c r="D42" s="48">
        <v>2284.16</v>
      </c>
      <c r="E42" s="48">
        <v>2223.57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0">
        <f t="shared" si="0"/>
        <v>6791.89</v>
      </c>
      <c r="R42" s="41"/>
      <c r="S42" s="46">
        <v>30</v>
      </c>
      <c r="T42" s="47" t="s">
        <v>51</v>
      </c>
      <c r="U42" s="49">
        <v>1732.57</v>
      </c>
      <c r="V42" s="48">
        <v>1611.81</v>
      </c>
      <c r="W42" s="39">
        <v>1657.11</v>
      </c>
      <c r="X42" s="50"/>
      <c r="Y42" s="50"/>
      <c r="Z42" s="50"/>
      <c r="AA42" s="50"/>
      <c r="AB42" s="51"/>
      <c r="AC42" s="51"/>
      <c r="AD42" s="51"/>
      <c r="AE42" s="51"/>
      <c r="AF42" s="51"/>
      <c r="AG42" s="39">
        <f t="shared" si="1"/>
        <v>5001.49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46">
        <v>31</v>
      </c>
      <c r="B43" s="47" t="s">
        <v>52</v>
      </c>
      <c r="C43" s="48">
        <v>4333.2</v>
      </c>
      <c r="D43" s="48">
        <v>4333.2</v>
      </c>
      <c r="E43" s="48">
        <v>4333.2</v>
      </c>
      <c r="F43" s="48"/>
      <c r="G43" s="48"/>
      <c r="H43" s="48"/>
      <c r="I43" s="48"/>
      <c r="J43" s="48"/>
      <c r="K43" s="48"/>
      <c r="L43" s="48"/>
      <c r="M43" s="48"/>
      <c r="N43" s="48"/>
      <c r="O43" s="48">
        <f>361.93+12.13+74.21+324.87+324.87</f>
        <v>1098.01</v>
      </c>
      <c r="P43" s="48">
        <f>2972.23+2892.21+2635.85</f>
        <v>8500.29</v>
      </c>
      <c r="Q43" s="40">
        <f t="shared" si="0"/>
        <v>22597.9</v>
      </c>
      <c r="R43" s="41"/>
      <c r="S43" s="46">
        <v>31</v>
      </c>
      <c r="T43" s="47" t="s">
        <v>52</v>
      </c>
      <c r="U43" s="49">
        <v>3883.95</v>
      </c>
      <c r="V43" s="48">
        <v>3838.47</v>
      </c>
      <c r="W43" s="39">
        <v>3190.79</v>
      </c>
      <c r="X43" s="50"/>
      <c r="Y43" s="50"/>
      <c r="Z43" s="50"/>
      <c r="AA43" s="50"/>
      <c r="AB43" s="51"/>
      <c r="AC43" s="51"/>
      <c r="AD43" s="51"/>
      <c r="AE43" s="51"/>
      <c r="AF43" s="51"/>
      <c r="AG43" s="39">
        <f t="shared" si="1"/>
        <v>10913.21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>
      <c r="A44" s="46">
        <v>32</v>
      </c>
      <c r="B44" s="47" t="s">
        <v>53</v>
      </c>
      <c r="C44" s="48">
        <v>4199.57</v>
      </c>
      <c r="D44" s="48">
        <v>4199.57</v>
      </c>
      <c r="E44" s="48">
        <v>4199.57</v>
      </c>
      <c r="F44" s="48"/>
      <c r="G44" s="48"/>
      <c r="H44" s="48"/>
      <c r="I44" s="48"/>
      <c r="J44" s="48"/>
      <c r="K44" s="48"/>
      <c r="L44" s="48"/>
      <c r="M44" s="48"/>
      <c r="N44" s="48"/>
      <c r="O44" s="48">
        <f>383.76+13.02+65.01+273.75+273.75</f>
        <v>1009.29</v>
      </c>
      <c r="P44" s="48">
        <f>2369.52+2483.78+2483.78</f>
        <v>7337.08</v>
      </c>
      <c r="Q44" s="40">
        <f t="shared" si="0"/>
        <v>20945.08</v>
      </c>
      <c r="R44" s="41"/>
      <c r="S44" s="46">
        <v>32</v>
      </c>
      <c r="T44" s="47" t="s">
        <v>53</v>
      </c>
      <c r="U44" s="49">
        <v>4142.39</v>
      </c>
      <c r="V44" s="48">
        <v>3669.25</v>
      </c>
      <c r="W44" s="39">
        <v>6788.94</v>
      </c>
      <c r="X44" s="50"/>
      <c r="Y44" s="50"/>
      <c r="Z44" s="50"/>
      <c r="AA44" s="50"/>
      <c r="AB44" s="51"/>
      <c r="AC44" s="51"/>
      <c r="AD44" s="51"/>
      <c r="AE44" s="51"/>
      <c r="AF44" s="51"/>
      <c r="AG44" s="39">
        <f t="shared" si="1"/>
        <v>14600.58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" customHeight="1">
      <c r="A45" s="46">
        <v>33</v>
      </c>
      <c r="B45" s="47" t="s">
        <v>54</v>
      </c>
      <c r="C45" s="48">
        <v>5833.39</v>
      </c>
      <c r="D45" s="48">
        <v>5833.39</v>
      </c>
      <c r="E45" s="48">
        <v>5833.39</v>
      </c>
      <c r="F45" s="48"/>
      <c r="G45" s="48"/>
      <c r="H45" s="48"/>
      <c r="I45" s="48"/>
      <c r="J45" s="48"/>
      <c r="K45" s="48"/>
      <c r="L45" s="48"/>
      <c r="M45" s="48"/>
      <c r="N45" s="48"/>
      <c r="O45" s="48">
        <f>391.08+20.03+411.11+411.11</f>
        <v>1233.33</v>
      </c>
      <c r="P45" s="48"/>
      <c r="Q45" s="40">
        <f t="shared" si="0"/>
        <v>18733.5</v>
      </c>
      <c r="R45" s="41"/>
      <c r="S45" s="46">
        <v>33</v>
      </c>
      <c r="T45" s="47" t="s">
        <v>54</v>
      </c>
      <c r="U45" s="49">
        <v>6315.67</v>
      </c>
      <c r="V45" s="48">
        <v>5776.22</v>
      </c>
      <c r="W45" s="39">
        <v>5730.16</v>
      </c>
      <c r="X45" s="50"/>
      <c r="Y45" s="50"/>
      <c r="Z45" s="50"/>
      <c r="AA45" s="50"/>
      <c r="AB45" s="51"/>
      <c r="AC45" s="51"/>
      <c r="AD45" s="51"/>
      <c r="AE45" s="51"/>
      <c r="AF45" s="51"/>
      <c r="AG45" s="39">
        <f t="shared" si="1"/>
        <v>17822.05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" customHeight="1">
      <c r="A46" s="46">
        <v>34</v>
      </c>
      <c r="B46" s="47" t="s">
        <v>55</v>
      </c>
      <c r="C46" s="48">
        <v>2143.4</v>
      </c>
      <c r="D46" s="48">
        <v>2143.4</v>
      </c>
      <c r="E46" s="48">
        <v>2143.4</v>
      </c>
      <c r="F46" s="48"/>
      <c r="G46" s="48"/>
      <c r="H46" s="48"/>
      <c r="I46" s="48"/>
      <c r="J46" s="48"/>
      <c r="K46" s="48"/>
      <c r="L46" s="48"/>
      <c r="M46" s="48"/>
      <c r="N46" s="48"/>
      <c r="O46" s="48">
        <f>128.84+6.6+40.4+175.84+175.84</f>
        <v>527.52</v>
      </c>
      <c r="P46" s="48"/>
      <c r="Q46" s="40">
        <f t="shared" si="0"/>
        <v>6957.72</v>
      </c>
      <c r="R46" s="41"/>
      <c r="S46" s="46">
        <v>34</v>
      </c>
      <c r="T46" s="47" t="s">
        <v>55</v>
      </c>
      <c r="U46" s="49">
        <v>2090.27</v>
      </c>
      <c r="V46" s="48">
        <v>2207.51</v>
      </c>
      <c r="W46" s="39">
        <v>2496.99</v>
      </c>
      <c r="X46" s="50"/>
      <c r="Y46" s="50"/>
      <c r="Z46" s="50"/>
      <c r="AA46" s="50"/>
      <c r="AB46" s="51"/>
      <c r="AC46" s="51"/>
      <c r="AD46" s="51"/>
      <c r="AE46" s="51"/>
      <c r="AF46" s="51"/>
      <c r="AG46" s="39">
        <f t="shared" si="1"/>
        <v>6794.77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" customHeight="1">
      <c r="A47" s="46">
        <v>35</v>
      </c>
      <c r="B47" s="47" t="s">
        <v>56</v>
      </c>
      <c r="C47" s="48">
        <v>5802.16</v>
      </c>
      <c r="D47" s="48">
        <v>5802.16</v>
      </c>
      <c r="E47" s="48">
        <v>5802.16</v>
      </c>
      <c r="F47" s="48"/>
      <c r="G47" s="48"/>
      <c r="H47" s="48"/>
      <c r="I47" s="48"/>
      <c r="J47" s="48"/>
      <c r="K47" s="48"/>
      <c r="L47" s="48"/>
      <c r="M47" s="48"/>
      <c r="N47" s="48"/>
      <c r="O47" s="48">
        <f>376.7+19.32+396.02+396.02</f>
        <v>1188.06</v>
      </c>
      <c r="P47" s="48">
        <f>507.28+507.28+507.28</f>
        <v>1521.84</v>
      </c>
      <c r="Q47" s="40">
        <f t="shared" si="0"/>
        <v>20116.38</v>
      </c>
      <c r="R47" s="41"/>
      <c r="S47" s="46">
        <v>35</v>
      </c>
      <c r="T47" s="47" t="s">
        <v>56</v>
      </c>
      <c r="U47" s="49">
        <v>5405.03</v>
      </c>
      <c r="V47" s="48">
        <v>4960.91</v>
      </c>
      <c r="W47" s="39">
        <v>4853.73</v>
      </c>
      <c r="X47" s="50"/>
      <c r="Y47" s="50"/>
      <c r="Z47" s="50"/>
      <c r="AA47" s="50"/>
      <c r="AB47" s="51"/>
      <c r="AC47" s="51"/>
      <c r="AD47" s="51"/>
      <c r="AE47" s="51"/>
      <c r="AF47" s="51"/>
      <c r="AG47" s="39">
        <f t="shared" si="1"/>
        <v>15219.67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" customHeight="1">
      <c r="A48" s="46">
        <v>36</v>
      </c>
      <c r="B48" s="47" t="s">
        <v>57</v>
      </c>
      <c r="C48" s="48">
        <v>1424.94</v>
      </c>
      <c r="D48" s="48">
        <v>1424.94</v>
      </c>
      <c r="E48" s="48">
        <v>1424.94</v>
      </c>
      <c r="F48" s="48"/>
      <c r="G48" s="48"/>
      <c r="H48" s="48"/>
      <c r="I48" s="48"/>
      <c r="J48" s="48"/>
      <c r="K48" s="48"/>
      <c r="L48" s="48"/>
      <c r="M48" s="48"/>
      <c r="N48" s="48"/>
      <c r="O48" s="48">
        <f>128.64+6.59+67.21+101.32</f>
        <v>303.76</v>
      </c>
      <c r="P48" s="48">
        <f>531.76+565.87+565.87</f>
        <v>1663.5</v>
      </c>
      <c r="Q48" s="40">
        <f t="shared" si="0"/>
        <v>6242.08</v>
      </c>
      <c r="R48" s="41"/>
      <c r="S48" s="46">
        <v>36</v>
      </c>
      <c r="T48" s="47" t="s">
        <v>57</v>
      </c>
      <c r="U48" s="49">
        <v>1767.91</v>
      </c>
      <c r="V48" s="48">
        <v>1621.13</v>
      </c>
      <c r="W48" s="39">
        <v>1714.57</v>
      </c>
      <c r="X48" s="50"/>
      <c r="Y48" s="50"/>
      <c r="Z48" s="50"/>
      <c r="AA48" s="50"/>
      <c r="AB48" s="51"/>
      <c r="AC48" s="51"/>
      <c r="AD48" s="51"/>
      <c r="AE48" s="51"/>
      <c r="AF48" s="51"/>
      <c r="AG48" s="39">
        <f t="shared" si="1"/>
        <v>5103.61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2" customHeight="1">
      <c r="A49" s="46">
        <v>37</v>
      </c>
      <c r="B49" s="47" t="s">
        <v>58</v>
      </c>
      <c r="C49" s="48">
        <v>3663.62</v>
      </c>
      <c r="D49" s="48">
        <v>3663.62</v>
      </c>
      <c r="E49" s="48">
        <v>3663.62</v>
      </c>
      <c r="F49" s="48"/>
      <c r="G49" s="48"/>
      <c r="H49" s="48"/>
      <c r="I49" s="48"/>
      <c r="J49" s="48"/>
      <c r="K49" s="48"/>
      <c r="L49" s="48"/>
      <c r="M49" s="48"/>
      <c r="N49" s="48"/>
      <c r="O49" s="48">
        <f>271.4+13.91+285.31+285.31</f>
        <v>855.93</v>
      </c>
      <c r="P49" s="48"/>
      <c r="Q49" s="40">
        <f t="shared" si="0"/>
        <v>11846.79</v>
      </c>
      <c r="R49" s="41"/>
      <c r="S49" s="46">
        <v>37</v>
      </c>
      <c r="T49" s="47" t="s">
        <v>58</v>
      </c>
      <c r="U49" s="49">
        <v>3711.8</v>
      </c>
      <c r="V49" s="48">
        <v>3906.88</v>
      </c>
      <c r="W49" s="39">
        <v>3657.96</v>
      </c>
      <c r="X49" s="50"/>
      <c r="Y49" s="50"/>
      <c r="Z49" s="50"/>
      <c r="AA49" s="50"/>
      <c r="AB49" s="51"/>
      <c r="AC49" s="51"/>
      <c r="AD49" s="51"/>
      <c r="AE49" s="51"/>
      <c r="AF49" s="51"/>
      <c r="AG49" s="39">
        <f t="shared" si="1"/>
        <v>11276.64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2" customHeight="1">
      <c r="A50" s="46">
        <v>38</v>
      </c>
      <c r="B50" s="47" t="s">
        <v>59</v>
      </c>
      <c r="C50" s="48">
        <v>3722.91</v>
      </c>
      <c r="D50" s="48">
        <v>3722.91</v>
      </c>
      <c r="E50" s="48">
        <v>3722.91</v>
      </c>
      <c r="F50" s="48"/>
      <c r="G50" s="48"/>
      <c r="H50" s="48"/>
      <c r="I50" s="48"/>
      <c r="J50" s="48"/>
      <c r="K50" s="48"/>
      <c r="L50" s="48"/>
      <c r="M50" s="48"/>
      <c r="N50" s="48"/>
      <c r="O50" s="48">
        <f>181.28+181.28+181.28</f>
        <v>543.84</v>
      </c>
      <c r="P50" s="48"/>
      <c r="Q50" s="40">
        <f t="shared" si="0"/>
        <v>11712.57</v>
      </c>
      <c r="R50" s="41"/>
      <c r="S50" s="46">
        <v>38</v>
      </c>
      <c r="T50" s="47" t="s">
        <v>59</v>
      </c>
      <c r="U50" s="49">
        <v>5044.51</v>
      </c>
      <c r="V50" s="48">
        <v>3035.46</v>
      </c>
      <c r="W50" s="52">
        <v>3130.39</v>
      </c>
      <c r="X50" s="50"/>
      <c r="Y50" s="50"/>
      <c r="Z50" s="50"/>
      <c r="AA50" s="50"/>
      <c r="AB50" s="51"/>
      <c r="AC50" s="51"/>
      <c r="AD50" s="51"/>
      <c r="AE50" s="51"/>
      <c r="AF50" s="51"/>
      <c r="AG50" s="52">
        <f t="shared" si="1"/>
        <v>11210.36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" customHeight="1">
      <c r="A51" s="46">
        <v>39</v>
      </c>
      <c r="B51" s="47" t="s">
        <v>60</v>
      </c>
      <c r="C51" s="48">
        <v>4182.55</v>
      </c>
      <c r="D51" s="48">
        <v>4182.55</v>
      </c>
      <c r="E51" s="48">
        <v>4182.55</v>
      </c>
      <c r="F51" s="48"/>
      <c r="G51" s="48"/>
      <c r="H51" s="48"/>
      <c r="I51" s="48"/>
      <c r="J51" s="48"/>
      <c r="K51" s="48"/>
      <c r="L51" s="48"/>
      <c r="M51" s="48"/>
      <c r="N51" s="48"/>
      <c r="O51" s="48">
        <f>299.21+10.21+309.42+309.42</f>
        <v>928.26</v>
      </c>
      <c r="P51" s="48"/>
      <c r="Q51" s="40">
        <f t="shared" si="0"/>
        <v>13475.91</v>
      </c>
      <c r="R51" s="41"/>
      <c r="S51" s="46">
        <v>39</v>
      </c>
      <c r="T51" s="47" t="s">
        <v>60</v>
      </c>
      <c r="U51" s="49">
        <v>3824.46</v>
      </c>
      <c r="V51" s="48">
        <v>4092.5</v>
      </c>
      <c r="W51" s="52">
        <v>3152.61</v>
      </c>
      <c r="X51" s="50"/>
      <c r="Y51" s="50"/>
      <c r="Z51" s="50"/>
      <c r="AA51" s="50"/>
      <c r="AB51" s="51"/>
      <c r="AC51" s="51"/>
      <c r="AD51" s="51"/>
      <c r="AE51" s="51"/>
      <c r="AF51" s="51"/>
      <c r="AG51" s="52">
        <f t="shared" si="1"/>
        <v>11069.57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" customHeight="1">
      <c r="A52" s="46">
        <v>40</v>
      </c>
      <c r="B52" s="47" t="s">
        <v>61</v>
      </c>
      <c r="C52" s="48">
        <v>6748.65</v>
      </c>
      <c r="D52" s="48">
        <v>6748.65</v>
      </c>
      <c r="E52" s="48">
        <v>6748.65</v>
      </c>
      <c r="F52" s="48"/>
      <c r="G52" s="48"/>
      <c r="H52" s="48"/>
      <c r="I52" s="48"/>
      <c r="J52" s="48"/>
      <c r="K52" s="48"/>
      <c r="L52" s="48"/>
      <c r="M52" s="48"/>
      <c r="N52" s="48"/>
      <c r="O52" s="48">
        <f>530.4+25.33+446.67+446.67</f>
        <v>1449.07</v>
      </c>
      <c r="P52" s="48">
        <f>902.38+939.32+939.32</f>
        <v>2781.02</v>
      </c>
      <c r="Q52" s="40">
        <f t="shared" si="0"/>
        <v>24476.04</v>
      </c>
      <c r="R52" s="41"/>
      <c r="S52" s="46">
        <v>40</v>
      </c>
      <c r="T52" s="47" t="s">
        <v>61</v>
      </c>
      <c r="U52" s="49">
        <v>8912.41</v>
      </c>
      <c r="V52" s="48">
        <v>8207.98</v>
      </c>
      <c r="W52" s="48">
        <v>9383.9</v>
      </c>
      <c r="X52" s="50"/>
      <c r="Y52" s="50"/>
      <c r="Z52" s="50"/>
      <c r="AA52" s="50"/>
      <c r="AB52" s="51"/>
      <c r="AC52" s="51"/>
      <c r="AD52" s="51"/>
      <c r="AE52" s="51"/>
      <c r="AF52" s="51"/>
      <c r="AG52" s="48">
        <f t="shared" si="1"/>
        <v>26504.29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1.25" customHeight="1">
      <c r="A53" s="46">
        <v>41</v>
      </c>
      <c r="B53" s="47" t="s">
        <v>62</v>
      </c>
      <c r="C53" s="48">
        <v>3111.68</v>
      </c>
      <c r="D53" s="48">
        <v>3111.68</v>
      </c>
      <c r="E53" s="48">
        <v>3111.68</v>
      </c>
      <c r="F53" s="48"/>
      <c r="G53" s="48"/>
      <c r="H53" s="48"/>
      <c r="I53" s="48"/>
      <c r="J53" s="48"/>
      <c r="K53" s="48"/>
      <c r="L53" s="48"/>
      <c r="M53" s="48"/>
      <c r="N53" s="48"/>
      <c r="O53" s="39">
        <f>268.71+13.77+196.94+196.94</f>
        <v>676.36</v>
      </c>
      <c r="P53" s="39">
        <f>615.48+658.25+658.25</f>
        <v>1931.98</v>
      </c>
      <c r="Q53" s="40">
        <f t="shared" si="0"/>
        <v>11943.38</v>
      </c>
      <c r="R53" s="41"/>
      <c r="S53" s="46">
        <v>41</v>
      </c>
      <c r="T53" s="47" t="s">
        <v>62</v>
      </c>
      <c r="U53" s="49">
        <v>3701.74</v>
      </c>
      <c r="V53" s="48">
        <v>3578.4</v>
      </c>
      <c r="W53" s="48">
        <v>5099.19</v>
      </c>
      <c r="X53" s="50"/>
      <c r="Y53" s="50"/>
      <c r="Z53" s="50"/>
      <c r="AA53" s="50"/>
      <c r="AB53" s="51"/>
      <c r="AC53" s="51"/>
      <c r="AD53" s="51"/>
      <c r="AE53" s="51"/>
      <c r="AF53" s="51"/>
      <c r="AG53" s="39">
        <f t="shared" si="1"/>
        <v>12379.33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" customHeight="1">
      <c r="A54" s="46">
        <v>42</v>
      </c>
      <c r="B54" s="53" t="s">
        <v>63</v>
      </c>
      <c r="C54" s="48">
        <v>4901.25</v>
      </c>
      <c r="D54" s="48">
        <v>4901.25</v>
      </c>
      <c r="E54" s="48">
        <v>4901.25</v>
      </c>
      <c r="F54" s="48"/>
      <c r="G54" s="48"/>
      <c r="H54" s="48"/>
      <c r="I54" s="48"/>
      <c r="J54" s="48"/>
      <c r="K54" s="48"/>
      <c r="L54" s="48"/>
      <c r="M54" s="48"/>
      <c r="N54" s="48"/>
      <c r="O54" s="48">
        <f>439.48+25.21+151.11+615.8+615.8</f>
        <v>1847.4</v>
      </c>
      <c r="P54" s="48"/>
      <c r="Q54" s="40">
        <f t="shared" si="0"/>
        <v>16551.15</v>
      </c>
      <c r="R54" s="41"/>
      <c r="S54" s="46">
        <v>42</v>
      </c>
      <c r="T54" s="53" t="s">
        <v>63</v>
      </c>
      <c r="U54" s="49">
        <v>4922.72</v>
      </c>
      <c r="V54" s="48">
        <v>4292.28</v>
      </c>
      <c r="W54" s="39">
        <v>4951.05</v>
      </c>
      <c r="X54" s="50"/>
      <c r="Y54" s="50"/>
      <c r="Z54" s="50"/>
      <c r="AA54" s="50"/>
      <c r="AB54" s="51"/>
      <c r="AC54" s="51"/>
      <c r="AD54" s="51"/>
      <c r="AE54" s="51"/>
      <c r="AF54" s="51"/>
      <c r="AG54" s="39">
        <f t="shared" si="1"/>
        <v>14166.05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" customHeight="1">
      <c r="A55" s="46">
        <v>43</v>
      </c>
      <c r="B55" s="53" t="s">
        <v>64</v>
      </c>
      <c r="C55" s="48">
        <v>9890.53</v>
      </c>
      <c r="D55" s="48">
        <v>9890.53</v>
      </c>
      <c r="E55" s="48">
        <v>9890.53</v>
      </c>
      <c r="F55" s="48"/>
      <c r="G55" s="48"/>
      <c r="H55" s="48"/>
      <c r="I55" s="48"/>
      <c r="J55" s="48"/>
      <c r="K55" s="48"/>
      <c r="L55" s="48"/>
      <c r="M55" s="48"/>
      <c r="N55" s="48"/>
      <c r="O55" s="48">
        <f>748.32+34.79+208.77+730.87+730.87</f>
        <v>2453.62</v>
      </c>
      <c r="P55" s="48">
        <f>2122.79+2308.04+2308.04</f>
        <v>6738.87</v>
      </c>
      <c r="Q55" s="40">
        <f t="shared" si="0"/>
        <v>38864.08</v>
      </c>
      <c r="R55" s="41"/>
      <c r="S55" s="46">
        <v>43</v>
      </c>
      <c r="T55" s="53" t="s">
        <v>64</v>
      </c>
      <c r="U55" s="49">
        <v>8790.11</v>
      </c>
      <c r="V55" s="48">
        <v>7897.05</v>
      </c>
      <c r="W55" s="39">
        <v>9103.91</v>
      </c>
      <c r="X55" s="50"/>
      <c r="Y55" s="50"/>
      <c r="Z55" s="50"/>
      <c r="AA55" s="50"/>
      <c r="AB55" s="51"/>
      <c r="AC55" s="51"/>
      <c r="AD55" s="51"/>
      <c r="AE55" s="51"/>
      <c r="AF55" s="51"/>
      <c r="AG55" s="39">
        <f t="shared" si="1"/>
        <v>25791.07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2" customHeight="1">
      <c r="A56" s="46">
        <v>44</v>
      </c>
      <c r="B56" s="53" t="s">
        <v>65</v>
      </c>
      <c r="C56" s="48">
        <v>1750.29</v>
      </c>
      <c r="D56" s="48">
        <v>1750.29</v>
      </c>
      <c r="E56" s="48">
        <v>1750.29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0">
        <f t="shared" si="0"/>
        <v>5250.87</v>
      </c>
      <c r="R56" s="41"/>
      <c r="S56" s="46">
        <v>44</v>
      </c>
      <c r="T56" s="53" t="s">
        <v>65</v>
      </c>
      <c r="U56" s="49">
        <v>1207.62</v>
      </c>
      <c r="V56" s="48">
        <v>1082.64</v>
      </c>
      <c r="W56" s="39">
        <v>1340.03</v>
      </c>
      <c r="X56" s="50"/>
      <c r="Y56" s="50"/>
      <c r="Z56" s="50"/>
      <c r="AA56" s="50"/>
      <c r="AB56" s="51"/>
      <c r="AC56" s="51"/>
      <c r="AD56" s="51"/>
      <c r="AE56" s="51"/>
      <c r="AF56" s="51"/>
      <c r="AG56" s="39">
        <f t="shared" si="1"/>
        <v>3630.29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2" customHeight="1">
      <c r="A57" s="46">
        <v>45</v>
      </c>
      <c r="B57" s="53" t="s">
        <v>66</v>
      </c>
      <c r="C57" s="48">
        <v>7518.29</v>
      </c>
      <c r="D57" s="48">
        <v>7518.29</v>
      </c>
      <c r="E57" s="48">
        <v>7518.29</v>
      </c>
      <c r="F57" s="48"/>
      <c r="G57" s="48"/>
      <c r="H57" s="48"/>
      <c r="I57" s="48"/>
      <c r="J57" s="48"/>
      <c r="K57" s="48"/>
      <c r="L57" s="48"/>
      <c r="M57" s="48"/>
      <c r="N57" s="48"/>
      <c r="O57" s="48">
        <f>409.41+23.47+432.88+432.88</f>
        <v>1298.64</v>
      </c>
      <c r="P57" s="48"/>
      <c r="Q57" s="40">
        <f t="shared" si="0"/>
        <v>23853.51</v>
      </c>
      <c r="R57" s="41"/>
      <c r="S57" s="46">
        <v>45</v>
      </c>
      <c r="T57" s="53" t="s">
        <v>66</v>
      </c>
      <c r="U57" s="49">
        <v>6453.5</v>
      </c>
      <c r="V57" s="48">
        <v>6152.38</v>
      </c>
      <c r="W57" s="39">
        <v>6389.54</v>
      </c>
      <c r="X57" s="50"/>
      <c r="Y57" s="50"/>
      <c r="Z57" s="50"/>
      <c r="AA57" s="50"/>
      <c r="AB57" s="51"/>
      <c r="AC57" s="51"/>
      <c r="AD57" s="51"/>
      <c r="AE57" s="51"/>
      <c r="AF57" s="51"/>
      <c r="AG57" s="39">
        <f t="shared" si="1"/>
        <v>18995.42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2" customHeight="1">
      <c r="A58" s="46">
        <v>46</v>
      </c>
      <c r="B58" s="53" t="s">
        <v>67</v>
      </c>
      <c r="C58" s="48">
        <v>8947</v>
      </c>
      <c r="D58" s="48">
        <v>8947</v>
      </c>
      <c r="E58" s="48">
        <v>8947</v>
      </c>
      <c r="F58" s="48"/>
      <c r="G58" s="48"/>
      <c r="H58" s="48"/>
      <c r="I58" s="48"/>
      <c r="J58" s="48"/>
      <c r="K58" s="48"/>
      <c r="L58" s="48"/>
      <c r="M58" s="48"/>
      <c r="N58" s="48"/>
      <c r="O58" s="48">
        <f>483.44+27.71+157.67+668.82+668.82</f>
        <v>2006.46</v>
      </c>
      <c r="P58" s="48"/>
      <c r="Q58" s="40">
        <f t="shared" si="0"/>
        <v>28847.46</v>
      </c>
      <c r="R58" s="41"/>
      <c r="S58" s="46">
        <v>46</v>
      </c>
      <c r="T58" s="53" t="s">
        <v>67</v>
      </c>
      <c r="U58" s="49">
        <v>10186.89</v>
      </c>
      <c r="V58" s="48">
        <v>8185.18</v>
      </c>
      <c r="W58" s="39">
        <v>8959.37</v>
      </c>
      <c r="X58" s="50"/>
      <c r="Y58" s="50"/>
      <c r="Z58" s="50"/>
      <c r="AA58" s="50"/>
      <c r="AB58" s="51"/>
      <c r="AC58" s="51"/>
      <c r="AD58" s="51"/>
      <c r="AE58" s="51"/>
      <c r="AF58" s="51"/>
      <c r="AG58" s="39">
        <f t="shared" si="1"/>
        <v>27331.44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2" customHeight="1">
      <c r="A59" s="46">
        <v>47</v>
      </c>
      <c r="B59" s="53" t="s">
        <v>68</v>
      </c>
      <c r="C59" s="48">
        <v>5098.45</v>
      </c>
      <c r="D59" s="48">
        <v>5098.45</v>
      </c>
      <c r="E59" s="48">
        <v>5098.45</v>
      </c>
      <c r="F59" s="48"/>
      <c r="G59" s="48"/>
      <c r="H59" s="48"/>
      <c r="I59" s="48"/>
      <c r="J59" s="48"/>
      <c r="K59" s="48"/>
      <c r="L59" s="48"/>
      <c r="M59" s="48"/>
      <c r="N59" s="48"/>
      <c r="O59" s="48">
        <f>415.28+23.82+142.82+581.92+581.92</f>
        <v>1745.76</v>
      </c>
      <c r="P59" s="48"/>
      <c r="Q59" s="40">
        <f t="shared" si="0"/>
        <v>17041.11</v>
      </c>
      <c r="R59" s="41"/>
      <c r="S59" s="46">
        <v>47</v>
      </c>
      <c r="T59" s="53" t="s">
        <v>68</v>
      </c>
      <c r="U59" s="49">
        <v>4535.05</v>
      </c>
      <c r="V59" s="48">
        <v>4387.16</v>
      </c>
      <c r="W59" s="39">
        <v>24551.4</v>
      </c>
      <c r="X59" s="50"/>
      <c r="Y59" s="50"/>
      <c r="Z59" s="50"/>
      <c r="AA59" s="50"/>
      <c r="AB59" s="51"/>
      <c r="AC59" s="51"/>
      <c r="AD59" s="51"/>
      <c r="AE59" s="51"/>
      <c r="AF59" s="51"/>
      <c r="AG59" s="39">
        <f t="shared" si="1"/>
        <v>33473.61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2" customHeight="1">
      <c r="A60" s="46">
        <v>48</v>
      </c>
      <c r="B60" s="53" t="s">
        <v>69</v>
      </c>
      <c r="C60" s="48">
        <v>7309.32</v>
      </c>
      <c r="D60" s="48">
        <v>7309.32</v>
      </c>
      <c r="E60" s="48">
        <v>7309.32</v>
      </c>
      <c r="F60" s="48"/>
      <c r="G60" s="48"/>
      <c r="H60" s="48"/>
      <c r="I60" s="48"/>
      <c r="J60" s="48"/>
      <c r="K60" s="48"/>
      <c r="L60" s="48"/>
      <c r="M60" s="48"/>
      <c r="N60" s="48"/>
      <c r="O60" s="48">
        <f>391.08+22.35+412.15+412.15</f>
        <v>1237.73</v>
      </c>
      <c r="P60" s="48"/>
      <c r="Q60" s="40">
        <f t="shared" si="0"/>
        <v>23165.69</v>
      </c>
      <c r="R60" s="41"/>
      <c r="S60" s="46">
        <v>48</v>
      </c>
      <c r="T60" s="53" t="s">
        <v>69</v>
      </c>
      <c r="U60" s="49">
        <v>6423.43</v>
      </c>
      <c r="V60" s="48">
        <v>6128.48</v>
      </c>
      <c r="W60" s="39">
        <v>6335.21</v>
      </c>
      <c r="X60" s="50"/>
      <c r="Y60" s="50"/>
      <c r="Z60" s="50"/>
      <c r="AA60" s="50"/>
      <c r="AB60" s="51"/>
      <c r="AC60" s="51"/>
      <c r="AD60" s="51"/>
      <c r="AE60" s="51"/>
      <c r="AF60" s="51"/>
      <c r="AG60" s="39">
        <f t="shared" si="1"/>
        <v>18887.12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2" customHeight="1">
      <c r="A61" s="46">
        <v>49</v>
      </c>
      <c r="B61" s="53" t="s">
        <v>70</v>
      </c>
      <c r="C61" s="48">
        <v>8964.94</v>
      </c>
      <c r="D61" s="48">
        <v>8964.94</v>
      </c>
      <c r="E61" s="48">
        <v>8964.94</v>
      </c>
      <c r="F61" s="48"/>
      <c r="G61" s="48"/>
      <c r="H61" s="48"/>
      <c r="I61" s="48"/>
      <c r="J61" s="48"/>
      <c r="K61" s="48"/>
      <c r="L61" s="48"/>
      <c r="M61" s="48"/>
      <c r="N61" s="48"/>
      <c r="O61" s="48">
        <f>461.44+26.48+158.76+646.68+646.68</f>
        <v>1940.04</v>
      </c>
      <c r="P61" s="48"/>
      <c r="Q61" s="40">
        <f t="shared" si="0"/>
        <v>28834.86</v>
      </c>
      <c r="R61" s="41"/>
      <c r="S61" s="46">
        <v>49</v>
      </c>
      <c r="T61" s="53" t="s">
        <v>70</v>
      </c>
      <c r="U61" s="49">
        <v>9206.56</v>
      </c>
      <c r="V61" s="48">
        <v>8564.19</v>
      </c>
      <c r="W61" s="39">
        <v>10959.95</v>
      </c>
      <c r="X61" s="50"/>
      <c r="Y61" s="50"/>
      <c r="Z61" s="50"/>
      <c r="AA61" s="50"/>
      <c r="AB61" s="51"/>
      <c r="AC61" s="51"/>
      <c r="AD61" s="51"/>
      <c r="AE61" s="51"/>
      <c r="AF61" s="51"/>
      <c r="AG61" s="39">
        <f t="shared" si="1"/>
        <v>28730.7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2" customHeight="1">
      <c r="A62" s="46">
        <v>50</v>
      </c>
      <c r="B62" s="53" t="s">
        <v>71</v>
      </c>
      <c r="C62" s="48">
        <v>7842.08</v>
      </c>
      <c r="D62" s="48">
        <v>7842.08</v>
      </c>
      <c r="E62" s="48">
        <v>7842.08</v>
      </c>
      <c r="F62" s="48"/>
      <c r="G62" s="48"/>
      <c r="H62" s="48"/>
      <c r="I62" s="48"/>
      <c r="J62" s="48"/>
      <c r="K62" s="48"/>
      <c r="L62" s="48"/>
      <c r="M62" s="48"/>
      <c r="N62" s="48"/>
      <c r="O62" s="48">
        <f>492.07+27.64+147.85+525.67+525.67</f>
        <v>1718.9</v>
      </c>
      <c r="P62" s="48"/>
      <c r="Q62" s="40">
        <f t="shared" si="0"/>
        <v>25245.14</v>
      </c>
      <c r="R62" s="41"/>
      <c r="S62" s="46">
        <v>50</v>
      </c>
      <c r="T62" s="53" t="s">
        <v>71</v>
      </c>
      <c r="U62" s="49">
        <v>7877.58</v>
      </c>
      <c r="V62" s="48">
        <v>7041.13</v>
      </c>
      <c r="W62" s="39">
        <v>7276.15</v>
      </c>
      <c r="X62" s="50"/>
      <c r="Y62" s="50"/>
      <c r="Z62" s="50"/>
      <c r="AA62" s="50"/>
      <c r="AB62" s="51"/>
      <c r="AC62" s="51"/>
      <c r="AD62" s="51"/>
      <c r="AE62" s="51"/>
      <c r="AF62" s="51"/>
      <c r="AG62" s="39">
        <f t="shared" si="1"/>
        <v>22194.86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2" customHeight="1">
      <c r="A63" s="46">
        <v>51</v>
      </c>
      <c r="B63" s="53" t="s">
        <v>72</v>
      </c>
      <c r="C63" s="48">
        <v>25497.8</v>
      </c>
      <c r="D63" s="48">
        <v>25497.8</v>
      </c>
      <c r="E63" s="48">
        <v>25497.8</v>
      </c>
      <c r="F63" s="48"/>
      <c r="G63" s="48"/>
      <c r="H63" s="48"/>
      <c r="I63" s="48"/>
      <c r="J63" s="48"/>
      <c r="K63" s="48"/>
      <c r="L63" s="48"/>
      <c r="M63" s="48"/>
      <c r="N63" s="48"/>
      <c r="O63" s="48">
        <f>1308+75.05+449.77+1801.19+1818.15</f>
        <v>5452.16</v>
      </c>
      <c r="P63" s="48">
        <f>238.28+255.24+255.24</f>
        <v>748.76</v>
      </c>
      <c r="Q63" s="40">
        <f t="shared" si="0"/>
        <v>82694.32</v>
      </c>
      <c r="R63" s="41"/>
      <c r="S63" s="46">
        <v>51</v>
      </c>
      <c r="T63" s="53" t="s">
        <v>72</v>
      </c>
      <c r="U63" s="49">
        <v>28369.13</v>
      </c>
      <c r="V63" s="48">
        <v>24167.49</v>
      </c>
      <c r="W63" s="39">
        <v>28029.18</v>
      </c>
      <c r="X63" s="50"/>
      <c r="Y63" s="50"/>
      <c r="Z63" s="50"/>
      <c r="AA63" s="50"/>
      <c r="AB63" s="51"/>
      <c r="AC63" s="51"/>
      <c r="AD63" s="51"/>
      <c r="AE63" s="51"/>
      <c r="AF63" s="51"/>
      <c r="AG63" s="39">
        <f t="shared" si="1"/>
        <v>80565.8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2" customHeight="1">
      <c r="A64" s="46">
        <v>52</v>
      </c>
      <c r="B64" s="53" t="s">
        <v>73</v>
      </c>
      <c r="C64" s="48">
        <v>8902.84</v>
      </c>
      <c r="D64" s="48">
        <v>8902.84</v>
      </c>
      <c r="E64" s="48">
        <v>8902.84</v>
      </c>
      <c r="F64" s="48"/>
      <c r="G64" s="48"/>
      <c r="H64" s="48"/>
      <c r="I64" s="48"/>
      <c r="J64" s="48"/>
      <c r="K64" s="48"/>
      <c r="L64" s="48"/>
      <c r="M64" s="48"/>
      <c r="N64" s="48"/>
      <c r="O64" s="48">
        <f>474.81+27.24+163.27+665.32+665.32</f>
        <v>1995.96</v>
      </c>
      <c r="P64" s="48"/>
      <c r="Q64" s="40">
        <f t="shared" si="0"/>
        <v>28704.48</v>
      </c>
      <c r="R64" s="41"/>
      <c r="S64" s="46">
        <v>52</v>
      </c>
      <c r="T64" s="53" t="s">
        <v>73</v>
      </c>
      <c r="U64" s="49">
        <v>11322.34</v>
      </c>
      <c r="V64" s="48">
        <v>8787.58</v>
      </c>
      <c r="W64" s="39">
        <v>8183.05</v>
      </c>
      <c r="X64" s="50"/>
      <c r="Y64" s="50"/>
      <c r="Z64" s="50"/>
      <c r="AA64" s="50"/>
      <c r="AB64" s="51"/>
      <c r="AC64" s="51"/>
      <c r="AD64" s="51"/>
      <c r="AE64" s="51"/>
      <c r="AF64" s="51"/>
      <c r="AG64" s="39">
        <f t="shared" si="1"/>
        <v>28292.97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2" customHeight="1">
      <c r="A65" s="46">
        <v>53</v>
      </c>
      <c r="B65" s="53" t="s">
        <v>74</v>
      </c>
      <c r="C65" s="48">
        <v>40000.68</v>
      </c>
      <c r="D65" s="48">
        <v>40000.68</v>
      </c>
      <c r="E65" s="48">
        <v>40000.68</v>
      </c>
      <c r="F65" s="48"/>
      <c r="G65" s="48"/>
      <c r="H65" s="48"/>
      <c r="I65" s="48"/>
      <c r="J65" s="48"/>
      <c r="K65" s="48"/>
      <c r="L65" s="48"/>
      <c r="M65" s="48"/>
      <c r="N65" s="48"/>
      <c r="O65" s="48">
        <f>2519.17+124.77+823.62+3467.56+3467.56</f>
        <v>10402.68</v>
      </c>
      <c r="P65" s="48"/>
      <c r="Q65" s="40">
        <f t="shared" si="0"/>
        <v>130404.72</v>
      </c>
      <c r="R65" s="41"/>
      <c r="S65" s="46">
        <v>53</v>
      </c>
      <c r="T65" s="53" t="s">
        <v>74</v>
      </c>
      <c r="U65" s="49">
        <v>41726.12</v>
      </c>
      <c r="V65" s="48">
        <v>37992.92</v>
      </c>
      <c r="W65" s="39">
        <v>42033.4</v>
      </c>
      <c r="X65" s="50"/>
      <c r="Y65" s="50"/>
      <c r="Z65" s="50"/>
      <c r="AA65" s="50"/>
      <c r="AB65" s="51"/>
      <c r="AC65" s="51"/>
      <c r="AD65" s="51"/>
      <c r="AE65" s="51"/>
      <c r="AF65" s="51"/>
      <c r="AG65" s="39">
        <f t="shared" si="1"/>
        <v>121752.44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2" customHeight="1">
      <c r="A66" s="46">
        <v>54</v>
      </c>
      <c r="B66" s="53" t="s">
        <v>75</v>
      </c>
      <c r="C66" s="48">
        <v>23310.04</v>
      </c>
      <c r="D66" s="48">
        <v>23310.04</v>
      </c>
      <c r="E66" s="48">
        <v>23310.04</v>
      </c>
      <c r="F66" s="48"/>
      <c r="G66" s="48"/>
      <c r="H66" s="48"/>
      <c r="I66" s="48"/>
      <c r="J66" s="48"/>
      <c r="K66" s="48"/>
      <c r="L66" s="48"/>
      <c r="M66" s="48"/>
      <c r="N66" s="48"/>
      <c r="O66" s="48">
        <f>2214.43+109.64+736.24+3060.61+3060.61</f>
        <v>9181.53</v>
      </c>
      <c r="P66" s="48"/>
      <c r="Q66" s="40">
        <f t="shared" si="0"/>
        <v>79111.65</v>
      </c>
      <c r="R66" s="41"/>
      <c r="S66" s="46">
        <v>54</v>
      </c>
      <c r="T66" s="53" t="s">
        <v>75</v>
      </c>
      <c r="U66" s="49">
        <v>24555.38</v>
      </c>
      <c r="V66" s="48">
        <v>22767.09</v>
      </c>
      <c r="W66" s="39">
        <v>26060.31</v>
      </c>
      <c r="X66" s="50"/>
      <c r="Y66" s="50"/>
      <c r="Z66" s="50"/>
      <c r="AA66" s="50"/>
      <c r="AB66" s="51"/>
      <c r="AC66" s="51"/>
      <c r="AD66" s="51"/>
      <c r="AE66" s="51"/>
      <c r="AF66" s="51"/>
      <c r="AG66" s="39">
        <f t="shared" si="1"/>
        <v>73382.78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2" customHeight="1">
      <c r="A67" s="46">
        <v>55</v>
      </c>
      <c r="B67" s="53" t="s">
        <v>76</v>
      </c>
      <c r="C67" s="48">
        <v>15407.38</v>
      </c>
      <c r="D67" s="48">
        <v>15399.1</v>
      </c>
      <c r="E67" s="48">
        <v>15399.1</v>
      </c>
      <c r="F67" s="48"/>
      <c r="G67" s="48"/>
      <c r="H67" s="48"/>
      <c r="I67" s="48"/>
      <c r="J67" s="48"/>
      <c r="K67" s="48"/>
      <c r="L67" s="48"/>
      <c r="M67" s="48"/>
      <c r="N67" s="48"/>
      <c r="O67" s="48">
        <f>1702.39+83+557.48+2343.6+2343.6</f>
        <v>7030.07</v>
      </c>
      <c r="P67" s="48"/>
      <c r="Q67" s="40">
        <f t="shared" si="0"/>
        <v>53235.65</v>
      </c>
      <c r="R67" s="41"/>
      <c r="S67" s="46">
        <v>55</v>
      </c>
      <c r="T67" s="53" t="s">
        <v>76</v>
      </c>
      <c r="U67" s="49">
        <v>17251.19</v>
      </c>
      <c r="V67" s="48">
        <v>20908.03</v>
      </c>
      <c r="W67" s="39">
        <v>16452.34</v>
      </c>
      <c r="X67" s="50"/>
      <c r="Y67" s="50"/>
      <c r="Z67" s="50"/>
      <c r="AA67" s="50"/>
      <c r="AB67" s="51"/>
      <c r="AC67" s="51"/>
      <c r="AD67" s="51"/>
      <c r="AE67" s="51"/>
      <c r="AF67" s="51"/>
      <c r="AG67" s="39">
        <f t="shared" si="1"/>
        <v>54611.56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2" customHeight="1">
      <c r="A68" s="46">
        <v>56</v>
      </c>
      <c r="B68" s="53" t="s">
        <v>77</v>
      </c>
      <c r="C68" s="48">
        <v>5124.4</v>
      </c>
      <c r="D68" s="48">
        <v>5124.4</v>
      </c>
      <c r="E68" s="48">
        <v>5124.4</v>
      </c>
      <c r="F68" s="48"/>
      <c r="G68" s="48"/>
      <c r="H68" s="48"/>
      <c r="I68" s="48"/>
      <c r="J68" s="48"/>
      <c r="K68" s="48"/>
      <c r="L68" s="48"/>
      <c r="M68" s="48"/>
      <c r="N68" s="48"/>
      <c r="O68" s="48">
        <f>303.45+15.56+319.01+319.01</f>
        <v>957.03</v>
      </c>
      <c r="P68" s="48"/>
      <c r="Q68" s="40">
        <f t="shared" si="0"/>
        <v>16330.23</v>
      </c>
      <c r="R68" s="41"/>
      <c r="S68" s="46">
        <v>56</v>
      </c>
      <c r="T68" s="53" t="s">
        <v>77</v>
      </c>
      <c r="U68" s="49">
        <v>4713.52</v>
      </c>
      <c r="V68" s="48">
        <v>4686.72</v>
      </c>
      <c r="W68" s="39">
        <v>3867.66</v>
      </c>
      <c r="X68" s="50"/>
      <c r="Y68" s="50"/>
      <c r="Z68" s="50"/>
      <c r="AA68" s="50"/>
      <c r="AB68" s="51"/>
      <c r="AC68" s="51"/>
      <c r="AD68" s="51"/>
      <c r="AE68" s="51"/>
      <c r="AF68" s="51"/>
      <c r="AG68" s="39">
        <f t="shared" si="1"/>
        <v>13267.9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2" customHeight="1">
      <c r="A69" s="46">
        <v>57</v>
      </c>
      <c r="B69" s="53" t="s">
        <v>78</v>
      </c>
      <c r="C69" s="48">
        <v>10724.44</v>
      </c>
      <c r="D69" s="48">
        <v>10724.44</v>
      </c>
      <c r="E69" s="48">
        <v>10724.44</v>
      </c>
      <c r="F69" s="48"/>
      <c r="G69" s="48"/>
      <c r="H69" s="48"/>
      <c r="I69" s="48"/>
      <c r="J69" s="48"/>
      <c r="K69" s="48"/>
      <c r="L69" s="48"/>
      <c r="M69" s="48"/>
      <c r="N69" s="48"/>
      <c r="O69" s="48">
        <f>841.07+43.04+843.65+843.65</f>
        <v>2571.41</v>
      </c>
      <c r="P69" s="48">
        <f>554.74+554.74+554.74</f>
        <v>1664.22</v>
      </c>
      <c r="Q69" s="40">
        <f t="shared" si="0"/>
        <v>36408.95</v>
      </c>
      <c r="R69" s="41"/>
      <c r="S69" s="46">
        <v>57</v>
      </c>
      <c r="T69" s="53" t="s">
        <v>78</v>
      </c>
      <c r="U69" s="49">
        <v>10002.86</v>
      </c>
      <c r="V69" s="48">
        <v>9594.07</v>
      </c>
      <c r="W69" s="39">
        <v>9784.48</v>
      </c>
      <c r="X69" s="50"/>
      <c r="Y69" s="50"/>
      <c r="Z69" s="50"/>
      <c r="AA69" s="50"/>
      <c r="AB69" s="51"/>
      <c r="AC69" s="51"/>
      <c r="AD69" s="51"/>
      <c r="AE69" s="51"/>
      <c r="AF69" s="51"/>
      <c r="AG69" s="39">
        <f t="shared" si="1"/>
        <v>29381.41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2" customHeight="1">
      <c r="A70" s="37">
        <v>58</v>
      </c>
      <c r="B70" s="53" t="s">
        <v>79</v>
      </c>
      <c r="C70" s="48">
        <v>16133.12</v>
      </c>
      <c r="D70" s="48">
        <v>16130.36</v>
      </c>
      <c r="E70" s="48">
        <v>16130.36</v>
      </c>
      <c r="F70" s="48"/>
      <c r="G70" s="48"/>
      <c r="H70" s="48"/>
      <c r="I70" s="48"/>
      <c r="J70" s="48"/>
      <c r="K70" s="48"/>
      <c r="L70" s="48"/>
      <c r="M70" s="48"/>
      <c r="N70" s="48"/>
      <c r="O70" s="48">
        <f>1211.2+48.62+932.3+932.3</f>
        <v>3124.42</v>
      </c>
      <c r="P70" s="48">
        <f>2675.36+2817.49+2817.49</f>
        <v>8310.34</v>
      </c>
      <c r="Q70" s="40">
        <f t="shared" si="0"/>
        <v>59828.6</v>
      </c>
      <c r="R70" s="41"/>
      <c r="S70" s="37">
        <v>58</v>
      </c>
      <c r="T70" s="53" t="s">
        <v>79</v>
      </c>
      <c r="U70" s="49">
        <v>23703.19</v>
      </c>
      <c r="V70" s="48">
        <v>20874.19</v>
      </c>
      <c r="W70" s="39">
        <v>17425.98</v>
      </c>
      <c r="X70" s="50"/>
      <c r="Y70" s="50"/>
      <c r="Z70" s="50"/>
      <c r="AA70" s="50"/>
      <c r="AB70" s="51"/>
      <c r="AC70" s="51"/>
      <c r="AD70" s="51"/>
      <c r="AE70" s="51"/>
      <c r="AF70" s="51"/>
      <c r="AG70" s="39">
        <f t="shared" si="1"/>
        <v>62003.36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2" customHeight="1">
      <c r="A71" s="46">
        <v>59</v>
      </c>
      <c r="B71" s="53" t="s">
        <v>80</v>
      </c>
      <c r="C71" s="48">
        <v>9061.48</v>
      </c>
      <c r="D71" s="48">
        <v>9061.48</v>
      </c>
      <c r="E71" s="48">
        <v>9061.48</v>
      </c>
      <c r="F71" s="48"/>
      <c r="G71" s="48"/>
      <c r="H71" s="48"/>
      <c r="I71" s="48"/>
      <c r="J71" s="48"/>
      <c r="K71" s="48"/>
      <c r="L71" s="48"/>
      <c r="M71" s="48"/>
      <c r="N71" s="48"/>
      <c r="O71" s="48">
        <f>410.05+20.99+431.04+431.04</f>
        <v>1293.12</v>
      </c>
      <c r="P71" s="48"/>
      <c r="Q71" s="40">
        <f t="shared" si="0"/>
        <v>28477.56</v>
      </c>
      <c r="R71" s="41"/>
      <c r="S71" s="46">
        <v>59</v>
      </c>
      <c r="T71" s="53" t="s">
        <v>80</v>
      </c>
      <c r="U71" s="49">
        <v>9000.38</v>
      </c>
      <c r="V71" s="48">
        <v>7907.64</v>
      </c>
      <c r="W71" s="39">
        <v>7840.52</v>
      </c>
      <c r="X71" s="50"/>
      <c r="Y71" s="50"/>
      <c r="Z71" s="50"/>
      <c r="AA71" s="50"/>
      <c r="AB71" s="51"/>
      <c r="AC71" s="51"/>
      <c r="AD71" s="51"/>
      <c r="AE71" s="51"/>
      <c r="AF71" s="51"/>
      <c r="AG71" s="39">
        <f t="shared" si="1"/>
        <v>24748.54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2" customHeight="1">
      <c r="A72" s="46">
        <v>60</v>
      </c>
      <c r="B72" s="53" t="s">
        <v>81</v>
      </c>
      <c r="C72" s="48">
        <v>5014.92</v>
      </c>
      <c r="D72" s="48">
        <v>5014.92</v>
      </c>
      <c r="E72" s="48">
        <v>5014.92</v>
      </c>
      <c r="F72" s="48"/>
      <c r="G72" s="48"/>
      <c r="H72" s="48"/>
      <c r="I72" s="48"/>
      <c r="J72" s="48"/>
      <c r="K72" s="48"/>
      <c r="L72" s="48"/>
      <c r="M72" s="48"/>
      <c r="N72" s="48"/>
      <c r="O72" s="48">
        <f>276.01+13.14+289.15+289.15</f>
        <v>867.45</v>
      </c>
      <c r="P72" s="48"/>
      <c r="Q72" s="40">
        <f t="shared" si="0"/>
        <v>15912.21</v>
      </c>
      <c r="R72" s="41"/>
      <c r="S72" s="46">
        <v>60</v>
      </c>
      <c r="T72" s="53" t="s">
        <v>81</v>
      </c>
      <c r="U72" s="49">
        <v>4535.88</v>
      </c>
      <c r="V72" s="48">
        <v>4344.31</v>
      </c>
      <c r="W72" s="39">
        <v>4500.84</v>
      </c>
      <c r="X72" s="50"/>
      <c r="Y72" s="50"/>
      <c r="Z72" s="50"/>
      <c r="AA72" s="50"/>
      <c r="AB72" s="51"/>
      <c r="AC72" s="51"/>
      <c r="AD72" s="51"/>
      <c r="AE72" s="51"/>
      <c r="AF72" s="51"/>
      <c r="AG72" s="39">
        <f t="shared" si="1"/>
        <v>13381.03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2" customHeight="1">
      <c r="A73" s="46">
        <v>61</v>
      </c>
      <c r="B73" s="47" t="s">
        <v>82</v>
      </c>
      <c r="C73" s="48">
        <v>24681.83</v>
      </c>
      <c r="D73" s="48">
        <v>24681.83</v>
      </c>
      <c r="E73" s="48">
        <v>24681.83</v>
      </c>
      <c r="F73" s="48"/>
      <c r="G73" s="48"/>
      <c r="H73" s="48"/>
      <c r="I73" s="48"/>
      <c r="J73" s="48"/>
      <c r="K73" s="48"/>
      <c r="L73" s="48"/>
      <c r="M73" s="48"/>
      <c r="N73" s="48"/>
      <c r="O73" s="48">
        <f>2017.19+102.88+676.19+1873.45+2336.53</f>
        <v>7006.24</v>
      </c>
      <c r="P73" s="48">
        <f>4901.64+5364.72+5364.72</f>
        <v>15631.08</v>
      </c>
      <c r="Q73" s="40">
        <f t="shared" si="0"/>
        <v>96682.81</v>
      </c>
      <c r="R73" s="41"/>
      <c r="S73" s="46">
        <v>61</v>
      </c>
      <c r="T73" s="47" t="s">
        <v>82</v>
      </c>
      <c r="U73" s="49">
        <v>24447.1</v>
      </c>
      <c r="V73" s="48">
        <v>26225.64</v>
      </c>
      <c r="W73" s="48">
        <v>35785.07</v>
      </c>
      <c r="X73" s="50"/>
      <c r="Y73" s="50"/>
      <c r="Z73" s="50"/>
      <c r="AA73" s="50"/>
      <c r="AB73" s="51"/>
      <c r="AC73" s="51"/>
      <c r="AD73" s="51"/>
      <c r="AE73" s="51"/>
      <c r="AF73" s="51"/>
      <c r="AG73" s="39">
        <f t="shared" si="1"/>
        <v>86457.81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2" customHeight="1">
      <c r="A74" s="46">
        <v>62</v>
      </c>
      <c r="B74" s="53" t="s">
        <v>83</v>
      </c>
      <c r="C74" s="48">
        <v>24760.88</v>
      </c>
      <c r="D74" s="48">
        <v>24760.88</v>
      </c>
      <c r="E74" s="48">
        <v>24760.88</v>
      </c>
      <c r="F74" s="48"/>
      <c r="G74" s="48"/>
      <c r="H74" s="48"/>
      <c r="I74" s="48"/>
      <c r="J74" s="48"/>
      <c r="K74" s="48"/>
      <c r="L74" s="48"/>
      <c r="M74" s="48"/>
      <c r="N74" s="48"/>
      <c r="O74" s="48">
        <f>1711.89+84.72+568.95+2314.93+2314.93</f>
        <v>6995.42</v>
      </c>
      <c r="P74" s="48">
        <f>783.84+857.12+857.12</f>
        <v>2498.08</v>
      </c>
      <c r="Q74" s="40">
        <f t="shared" si="0"/>
        <v>83776.14</v>
      </c>
      <c r="R74" s="41"/>
      <c r="S74" s="46">
        <v>62</v>
      </c>
      <c r="T74" s="53" t="s">
        <v>83</v>
      </c>
      <c r="U74" s="49">
        <v>29385.51</v>
      </c>
      <c r="V74" s="48">
        <v>24595.35</v>
      </c>
      <c r="W74" s="39">
        <v>24035.32</v>
      </c>
      <c r="X74" s="50"/>
      <c r="Y74" s="50"/>
      <c r="Z74" s="50"/>
      <c r="AA74" s="50"/>
      <c r="AB74" s="51"/>
      <c r="AC74" s="51"/>
      <c r="AD74" s="51"/>
      <c r="AE74" s="51"/>
      <c r="AF74" s="51"/>
      <c r="AG74" s="39">
        <f t="shared" si="1"/>
        <v>78016.18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2" customHeight="1">
      <c r="A75" s="46">
        <v>63</v>
      </c>
      <c r="B75" s="53" t="s">
        <v>84</v>
      </c>
      <c r="C75" s="48">
        <v>29018.64</v>
      </c>
      <c r="D75" s="48">
        <v>29018.64</v>
      </c>
      <c r="E75" s="48">
        <v>29018.64</v>
      </c>
      <c r="F75" s="48"/>
      <c r="G75" s="48"/>
      <c r="H75" s="48"/>
      <c r="I75" s="48"/>
      <c r="J75" s="48"/>
      <c r="K75" s="48"/>
      <c r="L75" s="48"/>
      <c r="M75" s="48"/>
      <c r="N75" s="48"/>
      <c r="O75" s="48">
        <f>2014.36+89.91+2104.27+2104.27</f>
        <v>6312.81</v>
      </c>
      <c r="P75" s="48"/>
      <c r="Q75" s="40">
        <f t="shared" si="0"/>
        <v>93368.73</v>
      </c>
      <c r="R75" s="41"/>
      <c r="S75" s="46">
        <v>63</v>
      </c>
      <c r="T75" s="53" t="s">
        <v>84</v>
      </c>
      <c r="U75" s="49">
        <v>29459.87</v>
      </c>
      <c r="V75" s="48">
        <v>27266.88</v>
      </c>
      <c r="W75" s="39">
        <v>28800.47</v>
      </c>
      <c r="X75" s="50"/>
      <c r="Y75" s="50"/>
      <c r="Z75" s="50"/>
      <c r="AA75" s="50"/>
      <c r="AB75" s="51"/>
      <c r="AC75" s="51"/>
      <c r="AD75" s="51"/>
      <c r="AE75" s="51"/>
      <c r="AF75" s="51"/>
      <c r="AG75" s="39">
        <f t="shared" si="1"/>
        <v>85527.22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2" customHeight="1">
      <c r="A76" s="46">
        <v>64</v>
      </c>
      <c r="B76" s="53" t="s">
        <v>85</v>
      </c>
      <c r="C76" s="48">
        <v>23620.08</v>
      </c>
      <c r="D76" s="48">
        <v>23620.08</v>
      </c>
      <c r="E76" s="48">
        <v>23620.08</v>
      </c>
      <c r="F76" s="48"/>
      <c r="G76" s="48"/>
      <c r="H76" s="48"/>
      <c r="I76" s="48"/>
      <c r="J76" s="48"/>
      <c r="K76" s="48"/>
      <c r="L76" s="48"/>
      <c r="M76" s="48"/>
      <c r="N76" s="48"/>
      <c r="O76" s="48">
        <f>1999.94+102.42+2030.19+2066.32</f>
        <v>6198.87</v>
      </c>
      <c r="P76" s="48">
        <f>411.08+447.21+447.21</f>
        <v>1305.5</v>
      </c>
      <c r="Q76" s="40">
        <f t="shared" si="0"/>
        <v>78364.61</v>
      </c>
      <c r="R76" s="41"/>
      <c r="S76" s="46">
        <v>64</v>
      </c>
      <c r="T76" s="53" t="s">
        <v>85</v>
      </c>
      <c r="U76" s="49">
        <v>24327.76</v>
      </c>
      <c r="V76" s="48">
        <v>21618.13</v>
      </c>
      <c r="W76" s="39">
        <v>24711.1</v>
      </c>
      <c r="X76" s="50"/>
      <c r="Y76" s="50"/>
      <c r="Z76" s="50"/>
      <c r="AA76" s="50"/>
      <c r="AB76" s="51"/>
      <c r="AC76" s="51"/>
      <c r="AD76" s="51"/>
      <c r="AE76" s="51"/>
      <c r="AF76" s="51"/>
      <c r="AG76" s="39">
        <f t="shared" si="1"/>
        <v>70656.99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2" customHeight="1">
      <c r="A77" s="46">
        <v>65</v>
      </c>
      <c r="B77" s="53" t="s">
        <v>86</v>
      </c>
      <c r="C77" s="48">
        <v>28898.96</v>
      </c>
      <c r="D77" s="48">
        <v>28898.96</v>
      </c>
      <c r="E77" s="48">
        <v>28909.31</v>
      </c>
      <c r="F77" s="48"/>
      <c r="G77" s="48"/>
      <c r="H77" s="48"/>
      <c r="I77" s="48"/>
      <c r="J77" s="48"/>
      <c r="K77" s="48"/>
      <c r="L77" s="48"/>
      <c r="M77" s="48"/>
      <c r="N77" s="48"/>
      <c r="O77" s="48">
        <f>2001.24+102.49+2035.97+2069.88</f>
        <v>6209.58</v>
      </c>
      <c r="P77" s="48">
        <f>470.74+504.66+504.66</f>
        <v>1480.06</v>
      </c>
      <c r="Q77" s="40">
        <f t="shared" si="0"/>
        <v>94396.87</v>
      </c>
      <c r="R77" s="41"/>
      <c r="S77" s="46">
        <v>65</v>
      </c>
      <c r="T77" s="53" t="s">
        <v>86</v>
      </c>
      <c r="U77" s="49">
        <v>27093.26</v>
      </c>
      <c r="V77" s="48">
        <v>26860.86</v>
      </c>
      <c r="W77" s="54">
        <v>23962.38</v>
      </c>
      <c r="X77" s="50"/>
      <c r="Y77" s="50"/>
      <c r="Z77" s="50"/>
      <c r="AA77" s="50"/>
      <c r="AB77" s="51"/>
      <c r="AC77" s="51"/>
      <c r="AD77" s="51"/>
      <c r="AE77" s="51"/>
      <c r="AF77" s="51"/>
      <c r="AG77" s="39">
        <f t="shared" si="1"/>
        <v>77916.5</v>
      </c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3.5" customHeight="1">
      <c r="A78" s="10" t="s">
        <v>2</v>
      </c>
      <c r="B78" s="16" t="s">
        <v>3</v>
      </c>
      <c r="C78" s="55" t="s">
        <v>4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  <c r="O78" s="13" t="s">
        <v>5</v>
      </c>
      <c r="P78" s="14" t="s">
        <v>6</v>
      </c>
      <c r="Q78" s="14" t="s">
        <v>7</v>
      </c>
      <c r="R78" s="15"/>
      <c r="S78" s="10" t="s">
        <v>2</v>
      </c>
      <c r="T78" s="16" t="s">
        <v>3</v>
      </c>
      <c r="U78" s="12" t="s">
        <v>8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17" t="s">
        <v>9</v>
      </c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2" customHeight="1">
      <c r="A79" s="18"/>
      <c r="B79" s="18"/>
      <c r="C79" s="56" t="s">
        <v>10</v>
      </c>
      <c r="D79" s="57" t="s">
        <v>11</v>
      </c>
      <c r="E79" s="22" t="s">
        <v>12</v>
      </c>
      <c r="F79" s="22" t="s">
        <v>13</v>
      </c>
      <c r="G79" s="22" t="s">
        <v>14</v>
      </c>
      <c r="H79" s="57" t="s">
        <v>15</v>
      </c>
      <c r="I79" s="22" t="s">
        <v>16</v>
      </c>
      <c r="J79" s="57" t="s">
        <v>17</v>
      </c>
      <c r="K79" s="22" t="s">
        <v>18</v>
      </c>
      <c r="L79" s="58" t="s">
        <v>19</v>
      </c>
      <c r="M79" s="23" t="s">
        <v>20</v>
      </c>
      <c r="N79" s="22" t="s">
        <v>21</v>
      </c>
      <c r="O79" s="18"/>
      <c r="P79" s="18"/>
      <c r="Q79" s="18"/>
      <c r="R79" s="15"/>
      <c r="S79" s="18"/>
      <c r="T79" s="18"/>
      <c r="U79" s="20" t="s">
        <v>10</v>
      </c>
      <c r="V79" s="21" t="s">
        <v>11</v>
      </c>
      <c r="W79" s="20" t="s">
        <v>12</v>
      </c>
      <c r="X79" s="20" t="s">
        <v>13</v>
      </c>
      <c r="Y79" s="20" t="s">
        <v>14</v>
      </c>
      <c r="Z79" s="21" t="s">
        <v>15</v>
      </c>
      <c r="AA79" s="20" t="s">
        <v>16</v>
      </c>
      <c r="AB79" s="59" t="s">
        <v>17</v>
      </c>
      <c r="AC79" s="59" t="s">
        <v>18</v>
      </c>
      <c r="AD79" s="23" t="s">
        <v>19</v>
      </c>
      <c r="AE79" s="23" t="s">
        <v>20</v>
      </c>
      <c r="AF79" s="59" t="s">
        <v>21</v>
      </c>
      <c r="AG79" s="18"/>
      <c r="AH79" s="2"/>
      <c r="AI79" s="2"/>
      <c r="AJ79" s="2"/>
      <c r="AK79" s="24"/>
      <c r="AL79" s="25"/>
      <c r="AM79" s="25"/>
      <c r="AN79" s="25"/>
      <c r="AO79" s="2"/>
      <c r="AP79" s="25"/>
      <c r="AQ79" s="26"/>
    </row>
    <row r="80" spans="1:43" ht="11.25" customHeight="1">
      <c r="A80" s="18"/>
      <c r="B80" s="18"/>
      <c r="C80" s="60"/>
      <c r="E80" s="18"/>
      <c r="F80" s="18"/>
      <c r="G80" s="18"/>
      <c r="I80" s="18"/>
      <c r="K80" s="18"/>
      <c r="L80" s="19"/>
      <c r="M80" s="18"/>
      <c r="N80" s="18"/>
      <c r="O80" s="18"/>
      <c r="P80" s="18"/>
      <c r="Q80" s="18"/>
      <c r="R80" s="15"/>
      <c r="S80" s="18"/>
      <c r="T80" s="18"/>
      <c r="U80" s="18"/>
      <c r="W80" s="18"/>
      <c r="X80" s="18"/>
      <c r="Y80" s="18"/>
      <c r="AA80" s="18"/>
      <c r="AB80" s="19"/>
      <c r="AC80" s="19"/>
      <c r="AD80" s="18"/>
      <c r="AE80" s="18"/>
      <c r="AF80" s="19"/>
      <c r="AG80" s="18"/>
      <c r="AH80" s="2"/>
      <c r="AI80" s="2"/>
      <c r="AJ80" s="2"/>
      <c r="AK80" s="24"/>
      <c r="AL80" s="27"/>
      <c r="AM80" s="27"/>
      <c r="AN80" s="27"/>
      <c r="AO80" s="2"/>
      <c r="AP80" s="27"/>
      <c r="AQ80" s="26"/>
    </row>
    <row r="81" spans="1:43" ht="10.5" customHeight="1">
      <c r="A81" s="18"/>
      <c r="B81" s="18"/>
      <c r="C81" s="60"/>
      <c r="E81" s="18"/>
      <c r="F81" s="18"/>
      <c r="G81" s="18"/>
      <c r="I81" s="18"/>
      <c r="K81" s="18"/>
      <c r="L81" s="19"/>
      <c r="M81" s="18"/>
      <c r="N81" s="18"/>
      <c r="O81" s="18"/>
      <c r="P81" s="18"/>
      <c r="Q81" s="18"/>
      <c r="R81" s="15"/>
      <c r="S81" s="18"/>
      <c r="T81" s="18"/>
      <c r="U81" s="18"/>
      <c r="W81" s="18"/>
      <c r="X81" s="18"/>
      <c r="Y81" s="18"/>
      <c r="AA81" s="18"/>
      <c r="AB81" s="19"/>
      <c r="AC81" s="19"/>
      <c r="AD81" s="18"/>
      <c r="AE81" s="18"/>
      <c r="AF81" s="19"/>
      <c r="AG81" s="18"/>
      <c r="AH81" s="2"/>
      <c r="AI81" s="2"/>
      <c r="AJ81" s="2"/>
      <c r="AK81" s="24"/>
      <c r="AL81" s="25"/>
      <c r="AM81" s="25"/>
      <c r="AN81" s="25"/>
      <c r="AO81" s="2"/>
      <c r="AP81" s="25"/>
      <c r="AQ81" s="26"/>
    </row>
    <row r="82" spans="1:43" ht="11.25" customHeight="1">
      <c r="A82" s="18"/>
      <c r="B82" s="18"/>
      <c r="C82" s="60"/>
      <c r="E82" s="18"/>
      <c r="F82" s="18"/>
      <c r="G82" s="18"/>
      <c r="I82" s="18"/>
      <c r="K82" s="18"/>
      <c r="L82" s="19"/>
      <c r="M82" s="18"/>
      <c r="N82" s="18"/>
      <c r="O82" s="18"/>
      <c r="P82" s="18"/>
      <c r="Q82" s="18"/>
      <c r="R82" s="15"/>
      <c r="S82" s="18"/>
      <c r="T82" s="18"/>
      <c r="U82" s="18"/>
      <c r="W82" s="18"/>
      <c r="X82" s="18"/>
      <c r="Y82" s="18"/>
      <c r="AA82" s="18"/>
      <c r="AB82" s="19"/>
      <c r="AC82" s="19"/>
      <c r="AD82" s="18"/>
      <c r="AE82" s="18"/>
      <c r="AF82" s="19"/>
      <c r="AG82" s="18"/>
      <c r="AH82" s="2"/>
      <c r="AI82" s="2"/>
      <c r="AJ82" s="2"/>
      <c r="AK82" s="24"/>
      <c r="AL82" s="24"/>
      <c r="AM82" s="24"/>
      <c r="AN82" s="24"/>
      <c r="AO82" s="2"/>
      <c r="AP82" s="24"/>
      <c r="AQ82" s="26"/>
    </row>
    <row r="83" spans="1:43" ht="12" customHeight="1">
      <c r="A83" s="18"/>
      <c r="B83" s="18"/>
      <c r="C83" s="60"/>
      <c r="E83" s="18"/>
      <c r="F83" s="18"/>
      <c r="G83" s="18"/>
      <c r="I83" s="18"/>
      <c r="K83" s="18"/>
      <c r="L83" s="19"/>
      <c r="M83" s="18"/>
      <c r="N83" s="18"/>
      <c r="O83" s="18"/>
      <c r="P83" s="18"/>
      <c r="Q83" s="18"/>
      <c r="R83" s="15"/>
      <c r="S83" s="18"/>
      <c r="T83" s="18"/>
      <c r="U83" s="18"/>
      <c r="W83" s="18"/>
      <c r="X83" s="18"/>
      <c r="Y83" s="18"/>
      <c r="AA83" s="18"/>
      <c r="AB83" s="19"/>
      <c r="AC83" s="19"/>
      <c r="AD83" s="18"/>
      <c r="AE83" s="18"/>
      <c r="AF83" s="19"/>
      <c r="AG83" s="18"/>
      <c r="AH83" s="2"/>
      <c r="AI83" s="2"/>
      <c r="AJ83" s="2"/>
      <c r="AK83" s="24"/>
      <c r="AL83" s="24"/>
      <c r="AM83" s="24"/>
      <c r="AN83" s="24"/>
      <c r="AO83" s="2"/>
      <c r="AP83" s="24"/>
      <c r="AQ83" s="26"/>
    </row>
    <row r="84" spans="1:43" ht="11.25" customHeight="1">
      <c r="A84" s="28"/>
      <c r="B84" s="28"/>
      <c r="C84" s="61"/>
      <c r="E84" s="28"/>
      <c r="F84" s="28"/>
      <c r="G84" s="28"/>
      <c r="I84" s="28"/>
      <c r="K84" s="28"/>
      <c r="L84" s="29"/>
      <c r="M84" s="28"/>
      <c r="N84" s="28"/>
      <c r="O84" s="28"/>
      <c r="P84" s="28"/>
      <c r="Q84" s="28"/>
      <c r="R84" s="15"/>
      <c r="S84" s="28"/>
      <c r="T84" s="28"/>
      <c r="U84" s="28"/>
      <c r="W84" s="28"/>
      <c r="X84" s="28"/>
      <c r="Y84" s="28"/>
      <c r="AA84" s="28"/>
      <c r="AB84" s="29"/>
      <c r="AC84" s="29"/>
      <c r="AD84" s="28"/>
      <c r="AE84" s="28"/>
      <c r="AF84" s="29"/>
      <c r="AG84" s="28"/>
      <c r="AH84" s="2"/>
      <c r="AI84" s="2"/>
      <c r="AJ84" s="2"/>
      <c r="AK84" s="24"/>
      <c r="AL84" s="24"/>
      <c r="AM84" s="24"/>
      <c r="AN84" s="24"/>
      <c r="AO84" s="2"/>
      <c r="AP84" s="24"/>
      <c r="AQ84" s="26"/>
    </row>
    <row r="85" spans="1:43" ht="12" customHeight="1">
      <c r="A85" s="30">
        <v>1</v>
      </c>
      <c r="B85" s="30">
        <v>2</v>
      </c>
      <c r="C85" s="35">
        <v>3</v>
      </c>
      <c r="D85" s="34">
        <v>4</v>
      </c>
      <c r="E85" s="30">
        <v>5</v>
      </c>
      <c r="F85" s="34">
        <v>6</v>
      </c>
      <c r="G85" s="30">
        <v>7</v>
      </c>
      <c r="H85" s="34">
        <v>8</v>
      </c>
      <c r="I85" s="30">
        <v>9</v>
      </c>
      <c r="J85" s="30">
        <v>10</v>
      </c>
      <c r="K85" s="30">
        <v>11</v>
      </c>
      <c r="L85" s="34">
        <v>12</v>
      </c>
      <c r="M85" s="30">
        <v>12</v>
      </c>
      <c r="N85" s="34">
        <v>14</v>
      </c>
      <c r="O85" s="34"/>
      <c r="P85" s="30">
        <v>15</v>
      </c>
      <c r="Q85" s="30">
        <v>16</v>
      </c>
      <c r="R85" s="36"/>
      <c r="S85" s="30">
        <v>1</v>
      </c>
      <c r="T85" s="31">
        <v>2</v>
      </c>
      <c r="U85" s="30">
        <v>3</v>
      </c>
      <c r="V85" s="30">
        <v>4</v>
      </c>
      <c r="W85" s="34">
        <v>5</v>
      </c>
      <c r="X85" s="30">
        <v>6</v>
      </c>
      <c r="Y85" s="34">
        <v>7</v>
      </c>
      <c r="Z85" s="30">
        <v>8</v>
      </c>
      <c r="AA85" s="35">
        <v>9</v>
      </c>
      <c r="AB85" s="34">
        <v>10</v>
      </c>
      <c r="AC85" s="30">
        <v>11</v>
      </c>
      <c r="AD85" s="34">
        <v>12</v>
      </c>
      <c r="AE85" s="30">
        <v>13</v>
      </c>
      <c r="AF85" s="31">
        <v>14</v>
      </c>
      <c r="AG85" s="30">
        <v>15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2" customHeight="1">
      <c r="A86" s="46">
        <v>66</v>
      </c>
      <c r="B86" s="53" t="s">
        <v>87</v>
      </c>
      <c r="C86" s="43">
        <v>27002.25</v>
      </c>
      <c r="D86" s="43">
        <v>27002.25</v>
      </c>
      <c r="E86" s="43">
        <v>27002.25</v>
      </c>
      <c r="F86" s="43"/>
      <c r="G86" s="43"/>
      <c r="H86" s="43"/>
      <c r="I86" s="43"/>
      <c r="J86" s="43"/>
      <c r="K86" s="43"/>
      <c r="L86" s="43"/>
      <c r="M86" s="43"/>
      <c r="N86" s="43"/>
      <c r="O86" s="39">
        <f>2135.95+109.39+2245.34+2245.34</f>
        <v>6736.02</v>
      </c>
      <c r="P86" s="48"/>
      <c r="Q86" s="40">
        <f aca="true" t="shared" si="2" ref="Q86:Q158">SUM(C86:P86)</f>
        <v>87742.77</v>
      </c>
      <c r="R86" s="41"/>
      <c r="S86" s="46">
        <v>66</v>
      </c>
      <c r="T86" s="53" t="s">
        <v>87</v>
      </c>
      <c r="U86" s="49">
        <v>23255.97</v>
      </c>
      <c r="V86" s="43">
        <v>22096</v>
      </c>
      <c r="W86" s="42">
        <v>22587.34</v>
      </c>
      <c r="X86" s="50"/>
      <c r="Y86" s="50"/>
      <c r="Z86" s="50"/>
      <c r="AA86" s="50"/>
      <c r="AB86" s="51"/>
      <c r="AC86" s="51"/>
      <c r="AD86" s="51"/>
      <c r="AE86" s="51"/>
      <c r="AF86" s="51"/>
      <c r="AG86" s="39">
        <f aca="true" t="shared" si="3" ref="AG86:AG158">SUM(U86:AF86)</f>
        <v>67939.31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2" customHeight="1">
      <c r="A87" s="46">
        <v>67</v>
      </c>
      <c r="B87" s="53" t="s">
        <v>88</v>
      </c>
      <c r="C87" s="48">
        <v>30777.9</v>
      </c>
      <c r="D87" s="48">
        <v>30777.9</v>
      </c>
      <c r="E87" s="48">
        <v>30777.9</v>
      </c>
      <c r="F87" s="48"/>
      <c r="G87" s="48"/>
      <c r="H87" s="48"/>
      <c r="I87" s="48"/>
      <c r="J87" s="48"/>
      <c r="K87" s="48"/>
      <c r="L87" s="48"/>
      <c r="M87" s="48"/>
      <c r="N87" s="48"/>
      <c r="O87" s="48">
        <f>3178.41+95.81+628.33+3902.55+3902.55</f>
        <v>11707.65</v>
      </c>
      <c r="P87" s="48"/>
      <c r="Q87" s="40">
        <f t="shared" si="2"/>
        <v>104041.35</v>
      </c>
      <c r="R87" s="41"/>
      <c r="S87" s="46">
        <v>67</v>
      </c>
      <c r="T87" s="53" t="s">
        <v>88</v>
      </c>
      <c r="U87" s="49">
        <v>27715.42</v>
      </c>
      <c r="V87" s="43">
        <v>28510.2</v>
      </c>
      <c r="W87" s="42">
        <v>30519.93</v>
      </c>
      <c r="X87" s="50"/>
      <c r="Y87" s="50"/>
      <c r="Z87" s="50"/>
      <c r="AA87" s="50"/>
      <c r="AB87" s="51"/>
      <c r="AC87" s="51"/>
      <c r="AD87" s="51"/>
      <c r="AE87" s="51"/>
      <c r="AF87" s="51"/>
      <c r="AG87" s="39">
        <f t="shared" si="3"/>
        <v>86745.55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2" customHeight="1">
      <c r="A88" s="46">
        <v>68</v>
      </c>
      <c r="B88" s="53" t="s">
        <v>89</v>
      </c>
      <c r="C88" s="48">
        <v>26928.16</v>
      </c>
      <c r="D88" s="48">
        <v>26928.16</v>
      </c>
      <c r="E88" s="48">
        <v>26928.16</v>
      </c>
      <c r="F88" s="48"/>
      <c r="G88" s="48"/>
      <c r="H88" s="48"/>
      <c r="I88" s="48"/>
      <c r="J88" s="48"/>
      <c r="K88" s="48"/>
      <c r="L88" s="48"/>
      <c r="M88" s="48"/>
      <c r="N88" s="48"/>
      <c r="O88" s="48">
        <f>3921.04+90.14+345.08+2878.04+3429.71</f>
        <v>10664.01</v>
      </c>
      <c r="P88" s="48">
        <f>22957.21+23082.45+23082.45</f>
        <v>69122.11</v>
      </c>
      <c r="Q88" s="40">
        <f t="shared" si="2"/>
        <v>160570.6</v>
      </c>
      <c r="R88" s="41"/>
      <c r="S88" s="46">
        <v>68</v>
      </c>
      <c r="T88" s="53" t="s">
        <v>89</v>
      </c>
      <c r="U88" s="49">
        <v>47275.55</v>
      </c>
      <c r="V88" s="48">
        <v>51129.95</v>
      </c>
      <c r="W88" s="42">
        <v>32309.32</v>
      </c>
      <c r="X88" s="50"/>
      <c r="Y88" s="50"/>
      <c r="Z88" s="50"/>
      <c r="AA88" s="50"/>
      <c r="AB88" s="51"/>
      <c r="AC88" s="51"/>
      <c r="AD88" s="51"/>
      <c r="AE88" s="51"/>
      <c r="AF88" s="51"/>
      <c r="AG88" s="39">
        <f t="shared" si="3"/>
        <v>130714.82</v>
      </c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2" customHeight="1">
      <c r="A89" s="46">
        <v>69</v>
      </c>
      <c r="B89" s="53" t="s">
        <v>90</v>
      </c>
      <c r="C89" s="48">
        <v>22129.68</v>
      </c>
      <c r="D89" s="48">
        <v>22107.6</v>
      </c>
      <c r="E89" s="48">
        <v>22107.6</v>
      </c>
      <c r="F89" s="48"/>
      <c r="G89" s="48"/>
      <c r="H89" s="48"/>
      <c r="I89" s="48"/>
      <c r="J89" s="48"/>
      <c r="K89" s="48"/>
      <c r="L89" s="48"/>
      <c r="M89" s="48"/>
      <c r="N89" s="48"/>
      <c r="O89" s="48">
        <f>3448.55+176.6+1185.77+4810.93+4810.93</f>
        <v>14432.78</v>
      </c>
      <c r="P89" s="48"/>
      <c r="Q89" s="40">
        <f t="shared" si="2"/>
        <v>80777.66</v>
      </c>
      <c r="R89" s="41"/>
      <c r="S89" s="46">
        <v>69</v>
      </c>
      <c r="T89" s="53" t="s">
        <v>90</v>
      </c>
      <c r="U89" s="49">
        <v>25975.36</v>
      </c>
      <c r="V89" s="48">
        <v>24131.23</v>
      </c>
      <c r="W89" s="42">
        <v>29327.76</v>
      </c>
      <c r="X89" s="50"/>
      <c r="Y89" s="50"/>
      <c r="Z89" s="50"/>
      <c r="AA89" s="50"/>
      <c r="AB89" s="51"/>
      <c r="AC89" s="51"/>
      <c r="AD89" s="51"/>
      <c r="AE89" s="51"/>
      <c r="AF89" s="51"/>
      <c r="AG89" s="39">
        <f t="shared" si="3"/>
        <v>79434.35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2" customHeight="1">
      <c r="A90" s="46">
        <v>70</v>
      </c>
      <c r="B90" s="53" t="s">
        <v>91</v>
      </c>
      <c r="C90" s="48">
        <v>30405.33</v>
      </c>
      <c r="D90" s="48">
        <v>30405.33</v>
      </c>
      <c r="E90" s="48">
        <v>30405.33</v>
      </c>
      <c r="F90" s="48"/>
      <c r="G90" s="48"/>
      <c r="H90" s="48"/>
      <c r="I90" s="48"/>
      <c r="J90" s="48"/>
      <c r="K90" s="48"/>
      <c r="L90" s="48"/>
      <c r="M90" s="48"/>
      <c r="N90" s="48"/>
      <c r="O90" s="48">
        <f>1705.6+75.17+500.62+2281.39+2285.34</f>
        <v>6848.12</v>
      </c>
      <c r="P90" s="48"/>
      <c r="Q90" s="40">
        <f t="shared" si="2"/>
        <v>98064.11</v>
      </c>
      <c r="R90" s="41"/>
      <c r="S90" s="46">
        <v>70</v>
      </c>
      <c r="T90" s="53" t="s">
        <v>91</v>
      </c>
      <c r="U90" s="49">
        <v>26421.93</v>
      </c>
      <c r="V90" s="48">
        <v>25182.35</v>
      </c>
      <c r="W90" s="42">
        <v>36402.97</v>
      </c>
      <c r="X90" s="50"/>
      <c r="Y90" s="50"/>
      <c r="Z90" s="50"/>
      <c r="AA90" s="50"/>
      <c r="AB90" s="51"/>
      <c r="AC90" s="51"/>
      <c r="AD90" s="51"/>
      <c r="AE90" s="51"/>
      <c r="AF90" s="51"/>
      <c r="AG90" s="39">
        <f t="shared" si="3"/>
        <v>88007.25</v>
      </c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2" customHeight="1">
      <c r="A91" s="46">
        <v>71</v>
      </c>
      <c r="B91" s="53" t="s">
        <v>92</v>
      </c>
      <c r="C91" s="48">
        <v>4761.92</v>
      </c>
      <c r="D91" s="48">
        <v>4761.92</v>
      </c>
      <c r="E91" s="48">
        <v>4761.92</v>
      </c>
      <c r="F91" s="48"/>
      <c r="G91" s="48"/>
      <c r="H91" s="48"/>
      <c r="I91" s="48"/>
      <c r="J91" s="48"/>
      <c r="K91" s="48"/>
      <c r="L91" s="48"/>
      <c r="M91" s="48"/>
      <c r="N91" s="48"/>
      <c r="O91" s="48">
        <f>307.35+17.63+98.01+282.41+349.25</f>
        <v>1054.65</v>
      </c>
      <c r="P91" s="48">
        <f>1009.99+1072.59+1072.59</f>
        <v>3155.17</v>
      </c>
      <c r="Q91" s="40">
        <f t="shared" si="2"/>
        <v>18495.58</v>
      </c>
      <c r="R91" s="41"/>
      <c r="S91" s="46">
        <v>71</v>
      </c>
      <c r="T91" s="53" t="s">
        <v>92</v>
      </c>
      <c r="U91" s="49">
        <v>4798.3</v>
      </c>
      <c r="V91" s="48">
        <v>4285.98</v>
      </c>
      <c r="W91" s="42">
        <v>4736.91</v>
      </c>
      <c r="X91" s="50"/>
      <c r="Y91" s="50"/>
      <c r="Z91" s="50"/>
      <c r="AA91" s="50"/>
      <c r="AB91" s="51"/>
      <c r="AC91" s="51"/>
      <c r="AD91" s="51"/>
      <c r="AE91" s="51"/>
      <c r="AF91" s="51"/>
      <c r="AG91" s="39">
        <f t="shared" si="3"/>
        <v>13821.19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2" customHeight="1">
      <c r="A92" s="46">
        <v>72</v>
      </c>
      <c r="B92" s="53" t="s">
        <v>93</v>
      </c>
      <c r="C92" s="48">
        <v>1102.24</v>
      </c>
      <c r="D92" s="48">
        <v>1102.24</v>
      </c>
      <c r="E92" s="48">
        <v>1102.24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0">
        <f t="shared" si="2"/>
        <v>3306.72</v>
      </c>
      <c r="R92" s="41"/>
      <c r="S92" s="46">
        <v>72</v>
      </c>
      <c r="T92" s="53" t="s">
        <v>93</v>
      </c>
      <c r="U92" s="49">
        <v>844.86</v>
      </c>
      <c r="V92" s="48">
        <v>799.7</v>
      </c>
      <c r="W92" s="42">
        <v>1030.71</v>
      </c>
      <c r="X92" s="50"/>
      <c r="Y92" s="50"/>
      <c r="Z92" s="50"/>
      <c r="AA92" s="50"/>
      <c r="AB92" s="51"/>
      <c r="AC92" s="51"/>
      <c r="AD92" s="51"/>
      <c r="AE92" s="51"/>
      <c r="AF92" s="51"/>
      <c r="AG92" s="39">
        <f t="shared" si="3"/>
        <v>2675.27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2" customHeight="1">
      <c r="A93" s="46">
        <v>73</v>
      </c>
      <c r="B93" s="53" t="s">
        <v>94</v>
      </c>
      <c r="C93" s="48">
        <v>11228.6</v>
      </c>
      <c r="D93" s="48">
        <v>11228.6</v>
      </c>
      <c r="E93" s="48">
        <v>11228.6</v>
      </c>
      <c r="F93" s="48"/>
      <c r="G93" s="48"/>
      <c r="H93" s="48"/>
      <c r="I93" s="48"/>
      <c r="J93" s="48"/>
      <c r="K93" s="48"/>
      <c r="L93" s="48"/>
      <c r="M93" s="48"/>
      <c r="N93" s="48"/>
      <c r="O93" s="48">
        <f>1095.42+62.84+376.67+1534.93+1534.93</f>
        <v>4604.79</v>
      </c>
      <c r="P93" s="48"/>
      <c r="Q93" s="40">
        <f t="shared" si="2"/>
        <v>38290.59</v>
      </c>
      <c r="R93" s="41"/>
      <c r="S93" s="46">
        <v>73</v>
      </c>
      <c r="T93" s="53" t="s">
        <v>94</v>
      </c>
      <c r="U93" s="49">
        <v>11518.16</v>
      </c>
      <c r="V93" s="48">
        <v>10464.87</v>
      </c>
      <c r="W93" s="42">
        <v>12170.03</v>
      </c>
      <c r="X93" s="50"/>
      <c r="Y93" s="50"/>
      <c r="Z93" s="50"/>
      <c r="AA93" s="50"/>
      <c r="AB93" s="51"/>
      <c r="AC93" s="51"/>
      <c r="AD93" s="51"/>
      <c r="AE93" s="51"/>
      <c r="AF93" s="51"/>
      <c r="AG93" s="39">
        <f t="shared" si="3"/>
        <v>34153.06</v>
      </c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2" customHeight="1">
      <c r="A94" s="46">
        <v>74</v>
      </c>
      <c r="B94" s="53" t="s">
        <v>95</v>
      </c>
      <c r="C94" s="48">
        <v>50148.63</v>
      </c>
      <c r="D94" s="48">
        <v>50148.63</v>
      </c>
      <c r="E94" s="48">
        <v>50148.63</v>
      </c>
      <c r="F94" s="48"/>
      <c r="G94" s="48"/>
      <c r="H94" s="48"/>
      <c r="I94" s="48"/>
      <c r="J94" s="48"/>
      <c r="K94" s="48"/>
      <c r="L94" s="48"/>
      <c r="M94" s="48"/>
      <c r="N94" s="48"/>
      <c r="O94" s="48">
        <f>4527.47+154.55+946.52+5628.54+5628.54</f>
        <v>16885.62</v>
      </c>
      <c r="P94" s="48">
        <f>5416.26+5416.26+5416.26</f>
        <v>16248.78</v>
      </c>
      <c r="Q94" s="40">
        <f t="shared" si="2"/>
        <v>183580.29</v>
      </c>
      <c r="R94" s="41"/>
      <c r="S94" s="46">
        <v>74</v>
      </c>
      <c r="T94" s="53" t="s">
        <v>95</v>
      </c>
      <c r="U94" s="49">
        <v>49452.23</v>
      </c>
      <c r="V94" s="48">
        <v>47574.65</v>
      </c>
      <c r="W94" s="42">
        <v>57479.42</v>
      </c>
      <c r="X94" s="50"/>
      <c r="Y94" s="50"/>
      <c r="Z94" s="50"/>
      <c r="AA94" s="50"/>
      <c r="AB94" s="51"/>
      <c r="AC94" s="51"/>
      <c r="AD94" s="51"/>
      <c r="AE94" s="51"/>
      <c r="AF94" s="51"/>
      <c r="AG94" s="39">
        <f t="shared" si="3"/>
        <v>154506.3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2" customHeight="1">
      <c r="A95" s="46">
        <v>75</v>
      </c>
      <c r="B95" s="53" t="s">
        <v>96</v>
      </c>
      <c r="C95" s="48">
        <v>46076.36</v>
      </c>
      <c r="D95" s="48">
        <v>46076.36</v>
      </c>
      <c r="E95" s="48">
        <v>46070.15</v>
      </c>
      <c r="F95" s="48"/>
      <c r="G95" s="48"/>
      <c r="H95" s="48"/>
      <c r="I95" s="48"/>
      <c r="J95" s="48"/>
      <c r="K95" s="48"/>
      <c r="L95" s="48"/>
      <c r="M95" s="48"/>
      <c r="N95" s="48"/>
      <c r="O95" s="48">
        <f>3184.91+161.79+998.79+4345.49+4345.59</f>
        <v>13036.57</v>
      </c>
      <c r="P95" s="48"/>
      <c r="Q95" s="40">
        <f t="shared" si="2"/>
        <v>151259.44</v>
      </c>
      <c r="R95" s="41"/>
      <c r="S95" s="46">
        <v>75</v>
      </c>
      <c r="T95" s="53" t="s">
        <v>96</v>
      </c>
      <c r="U95" s="49">
        <v>45796.35</v>
      </c>
      <c r="V95" s="48">
        <v>45374.5</v>
      </c>
      <c r="W95" s="42">
        <v>45311.26</v>
      </c>
      <c r="X95" s="50"/>
      <c r="Y95" s="50"/>
      <c r="Z95" s="50"/>
      <c r="AA95" s="50"/>
      <c r="AB95" s="51"/>
      <c r="AC95" s="51"/>
      <c r="AD95" s="51"/>
      <c r="AE95" s="51"/>
      <c r="AF95" s="51"/>
      <c r="AG95" s="39">
        <f t="shared" si="3"/>
        <v>136482.11</v>
      </c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2" customHeight="1">
      <c r="A96" s="46">
        <v>76</v>
      </c>
      <c r="B96" s="53" t="s">
        <v>97</v>
      </c>
      <c r="C96" s="48">
        <v>40130.4</v>
      </c>
      <c r="D96" s="48">
        <v>40130.4</v>
      </c>
      <c r="E96" s="48">
        <v>40130.4</v>
      </c>
      <c r="F96" s="48"/>
      <c r="G96" s="48"/>
      <c r="H96" s="48"/>
      <c r="I96" s="48"/>
      <c r="J96" s="48"/>
      <c r="K96" s="48"/>
      <c r="L96" s="48"/>
      <c r="M96" s="48"/>
      <c r="N96" s="48"/>
      <c r="O96" s="48">
        <f>3457.1+176.98+1084.09+4718.17+4718.17</f>
        <v>14154.51</v>
      </c>
      <c r="P96" s="48"/>
      <c r="Q96" s="40">
        <f t="shared" si="2"/>
        <v>134545.71</v>
      </c>
      <c r="R96" s="41"/>
      <c r="S96" s="46">
        <v>76</v>
      </c>
      <c r="T96" s="53" t="s">
        <v>97</v>
      </c>
      <c r="U96" s="49">
        <v>51485.1</v>
      </c>
      <c r="V96" s="48">
        <v>57315.04</v>
      </c>
      <c r="W96" s="42">
        <v>51679.91</v>
      </c>
      <c r="X96" s="50"/>
      <c r="Y96" s="50"/>
      <c r="Z96" s="50"/>
      <c r="AA96" s="50"/>
      <c r="AB96" s="51"/>
      <c r="AC96" s="51"/>
      <c r="AD96" s="51"/>
      <c r="AE96" s="51"/>
      <c r="AF96" s="51"/>
      <c r="AG96" s="39">
        <f t="shared" si="3"/>
        <v>160480.05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2" customHeight="1">
      <c r="A97" s="46">
        <v>77</v>
      </c>
      <c r="B97" s="53" t="s">
        <v>98</v>
      </c>
      <c r="C97" s="48">
        <v>48579.45</v>
      </c>
      <c r="D97" s="48">
        <v>48579.45</v>
      </c>
      <c r="E97" s="48">
        <v>48579.45</v>
      </c>
      <c r="F97" s="48"/>
      <c r="G97" s="48"/>
      <c r="H97" s="48"/>
      <c r="I97" s="48"/>
      <c r="J97" s="48"/>
      <c r="K97" s="48"/>
      <c r="L97" s="48"/>
      <c r="M97" s="48"/>
      <c r="N97" s="48"/>
      <c r="O97" s="48">
        <f>3215.7+164.68+984.07+4254.81+4282.69</f>
        <v>12901.95</v>
      </c>
      <c r="P97" s="48">
        <f>1251.4+1311.37+1311.37</f>
        <v>3874.14</v>
      </c>
      <c r="Q97" s="40">
        <f t="shared" si="2"/>
        <v>162514.44</v>
      </c>
      <c r="R97" s="41"/>
      <c r="S97" s="46">
        <v>77</v>
      </c>
      <c r="T97" s="53" t="s">
        <v>98</v>
      </c>
      <c r="U97" s="49">
        <v>47649.49</v>
      </c>
      <c r="V97" s="48">
        <v>46634.73</v>
      </c>
      <c r="W97" s="42">
        <v>46619.1</v>
      </c>
      <c r="X97" s="50"/>
      <c r="Y97" s="50"/>
      <c r="Z97" s="50"/>
      <c r="AA97" s="50"/>
      <c r="AB97" s="51"/>
      <c r="AC97" s="51"/>
      <c r="AD97" s="51"/>
      <c r="AE97" s="51"/>
      <c r="AF97" s="51"/>
      <c r="AG97" s="39">
        <f t="shared" si="3"/>
        <v>140903.32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2" customHeight="1">
      <c r="A98" s="46">
        <v>78</v>
      </c>
      <c r="B98" s="53" t="s">
        <v>99</v>
      </c>
      <c r="C98" s="48">
        <v>3365.36</v>
      </c>
      <c r="D98" s="48">
        <v>3365.36</v>
      </c>
      <c r="E98" s="48">
        <v>3365.36</v>
      </c>
      <c r="F98" s="48"/>
      <c r="G98" s="48"/>
      <c r="H98" s="48"/>
      <c r="I98" s="48"/>
      <c r="J98" s="48"/>
      <c r="K98" s="48"/>
      <c r="L98" s="48"/>
      <c r="M98" s="48"/>
      <c r="N98" s="48"/>
      <c r="O98" s="48">
        <f>394.36+20.2+163.2+272.32</f>
        <v>850.08</v>
      </c>
      <c r="P98" s="48">
        <f>1805.97+1948.61+1948.61</f>
        <v>5703.19</v>
      </c>
      <c r="Q98" s="40">
        <f t="shared" si="2"/>
        <v>16649.35</v>
      </c>
      <c r="R98" s="41"/>
      <c r="S98" s="46">
        <v>78</v>
      </c>
      <c r="T98" s="53" t="s">
        <v>99</v>
      </c>
      <c r="U98" s="49">
        <v>4233.2</v>
      </c>
      <c r="V98" s="48">
        <v>3785.61</v>
      </c>
      <c r="W98" s="42">
        <v>7031.19</v>
      </c>
      <c r="X98" s="50"/>
      <c r="Y98" s="50"/>
      <c r="Z98" s="50"/>
      <c r="AA98" s="50"/>
      <c r="AB98" s="51"/>
      <c r="AC98" s="51"/>
      <c r="AD98" s="51"/>
      <c r="AE98" s="51"/>
      <c r="AF98" s="51"/>
      <c r="AG98" s="39">
        <f t="shared" si="3"/>
        <v>15050</v>
      </c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2" customHeight="1">
      <c r="A99" s="46">
        <v>79</v>
      </c>
      <c r="B99" s="53" t="s">
        <v>100</v>
      </c>
      <c r="C99" s="48">
        <v>5323.35</v>
      </c>
      <c r="D99" s="48">
        <v>5323.35</v>
      </c>
      <c r="E99" s="48">
        <v>5323.35</v>
      </c>
      <c r="F99" s="48"/>
      <c r="G99" s="48"/>
      <c r="H99" s="48"/>
      <c r="I99" s="48"/>
      <c r="J99" s="48"/>
      <c r="K99" s="48"/>
      <c r="L99" s="48"/>
      <c r="M99" s="48"/>
      <c r="N99" s="48"/>
      <c r="O99" s="48">
        <f>516.98+14.98+91.66+466.42+545.02</f>
        <v>1635.06</v>
      </c>
      <c r="P99" s="48">
        <f>1587.59+1652.09+1652.09</f>
        <v>4891.77</v>
      </c>
      <c r="Q99" s="40">
        <f t="shared" si="2"/>
        <v>22496.88</v>
      </c>
      <c r="R99" s="41"/>
      <c r="S99" s="46">
        <v>79</v>
      </c>
      <c r="T99" s="53" t="s">
        <v>100</v>
      </c>
      <c r="U99" s="49">
        <v>6006.19</v>
      </c>
      <c r="V99" s="48">
        <v>5576.4</v>
      </c>
      <c r="W99" s="42">
        <v>11916.12</v>
      </c>
      <c r="X99" s="50"/>
      <c r="Y99" s="50"/>
      <c r="Z99" s="50"/>
      <c r="AA99" s="50"/>
      <c r="AB99" s="51"/>
      <c r="AC99" s="51"/>
      <c r="AD99" s="51"/>
      <c r="AE99" s="51"/>
      <c r="AF99" s="51"/>
      <c r="AG99" s="39">
        <f t="shared" si="3"/>
        <v>23498.71</v>
      </c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2" customHeight="1">
      <c r="A100" s="46">
        <v>80</v>
      </c>
      <c r="B100" s="53" t="s">
        <v>101</v>
      </c>
      <c r="C100" s="48">
        <v>4411.4</v>
      </c>
      <c r="D100" s="48">
        <v>4411.4</v>
      </c>
      <c r="E100" s="48">
        <v>4411.4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>
        <f>440.14+22.54+462.68+462.88</f>
        <v>1388.24</v>
      </c>
      <c r="P100" s="48"/>
      <c r="Q100" s="40">
        <f t="shared" si="2"/>
        <v>14622.44</v>
      </c>
      <c r="R100" s="41"/>
      <c r="S100" s="46">
        <v>80</v>
      </c>
      <c r="T100" s="53" t="s">
        <v>101</v>
      </c>
      <c r="U100" s="49">
        <v>3806.39</v>
      </c>
      <c r="V100" s="48">
        <v>4289.63</v>
      </c>
      <c r="W100" s="42">
        <v>4408.14</v>
      </c>
      <c r="X100" s="50"/>
      <c r="Y100" s="50"/>
      <c r="Z100" s="50"/>
      <c r="AA100" s="50"/>
      <c r="AB100" s="51"/>
      <c r="AC100" s="51"/>
      <c r="AD100" s="51"/>
      <c r="AE100" s="51"/>
      <c r="AF100" s="51"/>
      <c r="AG100" s="39">
        <f t="shared" si="3"/>
        <v>12504.16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2" customHeight="1">
      <c r="A101" s="46">
        <v>81</v>
      </c>
      <c r="B101" s="53" t="s">
        <v>102</v>
      </c>
      <c r="C101" s="48">
        <v>2508.85</v>
      </c>
      <c r="D101" s="48">
        <v>2508.85</v>
      </c>
      <c r="E101" s="48">
        <v>2508.85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>
        <f>394.34+5.82+65.13+119.66</f>
        <v>584.95</v>
      </c>
      <c r="P101" s="48">
        <f>367.3+421.83+421.83</f>
        <v>1210.96</v>
      </c>
      <c r="Q101" s="40">
        <f t="shared" si="2"/>
        <v>9322.46</v>
      </c>
      <c r="R101" s="41"/>
      <c r="S101" s="46">
        <v>81</v>
      </c>
      <c r="T101" s="53" t="s">
        <v>102</v>
      </c>
      <c r="U101" s="49">
        <v>2469.85</v>
      </c>
      <c r="V101" s="48">
        <v>2156.7</v>
      </c>
      <c r="W101" s="42">
        <v>2176.94</v>
      </c>
      <c r="X101" s="50"/>
      <c r="Y101" s="50"/>
      <c r="Z101" s="50"/>
      <c r="AA101" s="50"/>
      <c r="AB101" s="51"/>
      <c r="AC101" s="51"/>
      <c r="AD101" s="51"/>
      <c r="AE101" s="51"/>
      <c r="AF101" s="51"/>
      <c r="AG101" s="39">
        <f t="shared" si="3"/>
        <v>6803.49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2" customHeight="1">
      <c r="A102" s="46">
        <v>82</v>
      </c>
      <c r="B102" s="53" t="s">
        <v>103</v>
      </c>
      <c r="C102" s="48">
        <v>4381.5</v>
      </c>
      <c r="D102" s="48">
        <v>4381.5</v>
      </c>
      <c r="E102" s="48">
        <v>4381.5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>
        <f>274.22+14.05+288.27+288.27</f>
        <v>864.81</v>
      </c>
      <c r="P102" s="48"/>
      <c r="Q102" s="40">
        <f t="shared" si="2"/>
        <v>14009.31</v>
      </c>
      <c r="R102" s="41"/>
      <c r="S102" s="46">
        <v>82</v>
      </c>
      <c r="T102" s="53" t="s">
        <v>103</v>
      </c>
      <c r="U102" s="49">
        <v>3599.16</v>
      </c>
      <c r="V102" s="48">
        <v>3446.95</v>
      </c>
      <c r="W102" s="42">
        <v>5293.45</v>
      </c>
      <c r="X102" s="50"/>
      <c r="Y102" s="50"/>
      <c r="Z102" s="50"/>
      <c r="AA102" s="50"/>
      <c r="AB102" s="51"/>
      <c r="AC102" s="51"/>
      <c r="AD102" s="51"/>
      <c r="AE102" s="51"/>
      <c r="AF102" s="51"/>
      <c r="AG102" s="39">
        <f t="shared" si="3"/>
        <v>12339.56</v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2" customHeight="1">
      <c r="A103" s="46">
        <v>83</v>
      </c>
      <c r="B103" s="53" t="s">
        <v>104</v>
      </c>
      <c r="C103" s="48">
        <v>6477.95</v>
      </c>
      <c r="D103" s="48">
        <v>6477.95</v>
      </c>
      <c r="E103" s="48">
        <v>6477.95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>
        <f>338.38+17.33+355.71+355.71</f>
        <v>1067.13</v>
      </c>
      <c r="P103" s="48"/>
      <c r="Q103" s="40">
        <f t="shared" si="2"/>
        <v>20500.98</v>
      </c>
      <c r="R103" s="41"/>
      <c r="S103" s="46">
        <v>83</v>
      </c>
      <c r="T103" s="53" t="s">
        <v>104</v>
      </c>
      <c r="U103" s="49">
        <v>5413.3</v>
      </c>
      <c r="V103" s="48">
        <v>3938.05</v>
      </c>
      <c r="W103" s="42">
        <v>5515.83</v>
      </c>
      <c r="X103" s="50"/>
      <c r="Y103" s="50"/>
      <c r="Z103" s="50"/>
      <c r="AA103" s="50"/>
      <c r="AB103" s="51"/>
      <c r="AC103" s="51"/>
      <c r="AD103" s="51"/>
      <c r="AE103" s="51"/>
      <c r="AF103" s="51"/>
      <c r="AG103" s="39">
        <f t="shared" si="3"/>
        <v>14867.18</v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2" customHeight="1">
      <c r="A104" s="46">
        <v>84</v>
      </c>
      <c r="B104" s="53" t="s">
        <v>105</v>
      </c>
      <c r="C104" s="48">
        <v>1520.08</v>
      </c>
      <c r="D104" s="48">
        <v>1520.08</v>
      </c>
      <c r="E104" s="48">
        <v>1520.08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0">
        <f t="shared" si="2"/>
        <v>4560.24</v>
      </c>
      <c r="R104" s="41"/>
      <c r="S104" s="46">
        <v>84</v>
      </c>
      <c r="T104" s="53" t="s">
        <v>105</v>
      </c>
      <c r="U104" s="49">
        <v>1007.06</v>
      </c>
      <c r="V104" s="48">
        <v>937.36</v>
      </c>
      <c r="W104" s="42">
        <v>1024.27</v>
      </c>
      <c r="X104" s="50"/>
      <c r="Y104" s="50"/>
      <c r="Z104" s="50"/>
      <c r="AA104" s="50"/>
      <c r="AB104" s="51"/>
      <c r="AC104" s="51"/>
      <c r="AD104" s="51"/>
      <c r="AE104" s="51"/>
      <c r="AF104" s="51"/>
      <c r="AG104" s="39">
        <f t="shared" si="3"/>
        <v>2968.69</v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12" customHeight="1">
      <c r="A105" s="46">
        <v>85</v>
      </c>
      <c r="B105" s="53" t="s">
        <v>106</v>
      </c>
      <c r="C105" s="48">
        <v>1630.07</v>
      </c>
      <c r="D105" s="48">
        <v>1630.07</v>
      </c>
      <c r="E105" s="48">
        <v>1630.07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0">
        <f t="shared" si="2"/>
        <v>4890.21</v>
      </c>
      <c r="R105" s="41"/>
      <c r="S105" s="46">
        <v>85</v>
      </c>
      <c r="T105" s="53" t="s">
        <v>106</v>
      </c>
      <c r="U105" s="49">
        <v>1111.82</v>
      </c>
      <c r="V105" s="48">
        <v>1036.02</v>
      </c>
      <c r="W105" s="42">
        <v>1287.43</v>
      </c>
      <c r="X105" s="50"/>
      <c r="Y105" s="50"/>
      <c r="Z105" s="50"/>
      <c r="AA105" s="50"/>
      <c r="AB105" s="51"/>
      <c r="AC105" s="51"/>
      <c r="AD105" s="51"/>
      <c r="AE105" s="51"/>
      <c r="AF105" s="51"/>
      <c r="AG105" s="39">
        <f t="shared" si="3"/>
        <v>3435.27</v>
      </c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2" customHeight="1">
      <c r="A106" s="46">
        <v>86</v>
      </c>
      <c r="B106" s="53" t="s">
        <v>107</v>
      </c>
      <c r="C106" s="48">
        <v>1339.28</v>
      </c>
      <c r="D106" s="48">
        <v>1339.28</v>
      </c>
      <c r="E106" s="48">
        <v>1339.28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0">
        <f t="shared" si="2"/>
        <v>4017.84</v>
      </c>
      <c r="R106" s="41"/>
      <c r="S106" s="46">
        <v>86</v>
      </c>
      <c r="T106" s="53" t="s">
        <v>107</v>
      </c>
      <c r="U106" s="49">
        <v>901.37</v>
      </c>
      <c r="V106" s="48">
        <v>807.62</v>
      </c>
      <c r="W106" s="42">
        <v>875.27</v>
      </c>
      <c r="X106" s="50"/>
      <c r="Y106" s="50"/>
      <c r="Z106" s="50"/>
      <c r="AA106" s="50"/>
      <c r="AB106" s="51"/>
      <c r="AC106" s="51"/>
      <c r="AD106" s="51"/>
      <c r="AE106" s="51"/>
      <c r="AF106" s="51"/>
      <c r="AG106" s="39">
        <f t="shared" si="3"/>
        <v>2584.26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2" customHeight="1">
      <c r="A107" s="46">
        <v>87</v>
      </c>
      <c r="B107" s="53" t="s">
        <v>108</v>
      </c>
      <c r="C107" s="48">
        <v>1420.13</v>
      </c>
      <c r="D107" s="48">
        <v>1420.13</v>
      </c>
      <c r="E107" s="48">
        <v>1420.13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0">
        <f t="shared" si="2"/>
        <v>4260.39</v>
      </c>
      <c r="R107" s="41"/>
      <c r="S107" s="46">
        <v>87</v>
      </c>
      <c r="T107" s="53" t="s">
        <v>108</v>
      </c>
      <c r="U107" s="49">
        <v>1489.17</v>
      </c>
      <c r="V107" s="48">
        <v>1162.09</v>
      </c>
      <c r="W107" s="42">
        <v>1695.86</v>
      </c>
      <c r="X107" s="50"/>
      <c r="Y107" s="50"/>
      <c r="Z107" s="50"/>
      <c r="AA107" s="50"/>
      <c r="AB107" s="51"/>
      <c r="AC107" s="51"/>
      <c r="AD107" s="51"/>
      <c r="AE107" s="51"/>
      <c r="AF107" s="51"/>
      <c r="AG107" s="39">
        <f t="shared" si="3"/>
        <v>4347.12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2" customHeight="1">
      <c r="A108" s="46">
        <v>88</v>
      </c>
      <c r="B108" s="53" t="s">
        <v>109</v>
      </c>
      <c r="C108" s="48">
        <v>1245</v>
      </c>
      <c r="D108" s="48">
        <v>1245</v>
      </c>
      <c r="E108" s="48">
        <v>1245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0">
        <f t="shared" si="2"/>
        <v>3735</v>
      </c>
      <c r="R108" s="41"/>
      <c r="S108" s="46">
        <v>88</v>
      </c>
      <c r="T108" s="53" t="s">
        <v>109</v>
      </c>
      <c r="U108" s="49">
        <v>940.84</v>
      </c>
      <c r="V108" s="48">
        <v>880.12</v>
      </c>
      <c r="W108" s="49">
        <v>1107.18</v>
      </c>
      <c r="X108" s="50"/>
      <c r="Y108" s="50"/>
      <c r="Z108" s="50"/>
      <c r="AA108" s="50"/>
      <c r="AB108" s="51"/>
      <c r="AC108" s="51"/>
      <c r="AD108" s="51"/>
      <c r="AE108" s="51"/>
      <c r="AF108" s="51"/>
      <c r="AG108" s="48">
        <f t="shared" si="3"/>
        <v>2928.14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2" customHeight="1">
      <c r="A109" s="46">
        <v>89</v>
      </c>
      <c r="B109" s="53" t="s">
        <v>110</v>
      </c>
      <c r="C109" s="48">
        <v>1548.78</v>
      </c>
      <c r="D109" s="48">
        <v>1548.78</v>
      </c>
      <c r="E109" s="48">
        <v>1548.78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39"/>
      <c r="P109" s="39"/>
      <c r="Q109" s="40">
        <f t="shared" si="2"/>
        <v>4646.34</v>
      </c>
      <c r="R109" s="41"/>
      <c r="S109" s="46">
        <v>89</v>
      </c>
      <c r="T109" s="53" t="s">
        <v>110</v>
      </c>
      <c r="U109" s="49">
        <v>1176.24</v>
      </c>
      <c r="V109" s="48">
        <v>1087.75</v>
      </c>
      <c r="W109" s="42">
        <v>1347.04</v>
      </c>
      <c r="X109" s="50"/>
      <c r="Y109" s="50"/>
      <c r="Z109" s="50"/>
      <c r="AA109" s="50"/>
      <c r="AB109" s="51"/>
      <c r="AC109" s="51"/>
      <c r="AD109" s="51"/>
      <c r="AE109" s="51"/>
      <c r="AF109" s="51"/>
      <c r="AG109" s="39">
        <f t="shared" si="3"/>
        <v>3611.03</v>
      </c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2" customHeight="1">
      <c r="A110" s="46">
        <v>90</v>
      </c>
      <c r="B110" s="53" t="s">
        <v>111</v>
      </c>
      <c r="C110" s="48">
        <v>4615.64</v>
      </c>
      <c r="D110" s="48">
        <v>4615.64</v>
      </c>
      <c r="E110" s="48">
        <v>4615.64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>
        <f>355.13+20.39+375.52+375.52</f>
        <v>1126.56</v>
      </c>
      <c r="P110" s="48"/>
      <c r="Q110" s="40">
        <f t="shared" si="2"/>
        <v>14973.48</v>
      </c>
      <c r="R110" s="41"/>
      <c r="S110" s="46">
        <v>90</v>
      </c>
      <c r="T110" s="53" t="s">
        <v>111</v>
      </c>
      <c r="U110" s="49">
        <v>4843.03</v>
      </c>
      <c r="V110" s="48">
        <v>4379.93</v>
      </c>
      <c r="W110" s="42">
        <v>4541.45</v>
      </c>
      <c r="X110" s="50"/>
      <c r="Y110" s="50"/>
      <c r="Z110" s="50"/>
      <c r="AA110" s="50"/>
      <c r="AB110" s="51"/>
      <c r="AC110" s="51"/>
      <c r="AD110" s="51"/>
      <c r="AE110" s="51"/>
      <c r="AF110" s="51"/>
      <c r="AG110" s="39">
        <f t="shared" si="3"/>
        <v>13764.41</v>
      </c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2" customHeight="1">
      <c r="A111" s="46">
        <v>91</v>
      </c>
      <c r="B111" s="53" t="s">
        <v>112</v>
      </c>
      <c r="C111" s="48">
        <v>4151.04</v>
      </c>
      <c r="D111" s="48">
        <v>4151.04</v>
      </c>
      <c r="E111" s="48">
        <v>4151.04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>
        <f>409.41+21.8+431.21+431.21</f>
        <v>1293.63</v>
      </c>
      <c r="P111" s="48"/>
      <c r="Q111" s="40">
        <f t="shared" si="2"/>
        <v>13746.75</v>
      </c>
      <c r="R111" s="41"/>
      <c r="S111" s="46">
        <v>91</v>
      </c>
      <c r="T111" s="53" t="s">
        <v>112</v>
      </c>
      <c r="U111" s="49">
        <v>4204.98</v>
      </c>
      <c r="V111" s="48">
        <v>3747.68</v>
      </c>
      <c r="W111" s="42">
        <v>3984.73</v>
      </c>
      <c r="X111" s="50"/>
      <c r="Y111" s="50"/>
      <c r="Z111" s="50"/>
      <c r="AA111" s="50"/>
      <c r="AB111" s="51"/>
      <c r="AC111" s="51"/>
      <c r="AD111" s="51"/>
      <c r="AE111" s="51"/>
      <c r="AF111" s="51"/>
      <c r="AG111" s="39">
        <f t="shared" si="3"/>
        <v>11937.39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2" customHeight="1">
      <c r="A112" s="46">
        <v>92</v>
      </c>
      <c r="B112" s="53" t="s">
        <v>113</v>
      </c>
      <c r="C112" s="48">
        <v>4597.24</v>
      </c>
      <c r="D112" s="48">
        <v>4597.24</v>
      </c>
      <c r="E112" s="48">
        <v>4597.24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>
        <f>410.06+23.53+433.59+433.59</f>
        <v>1300.77</v>
      </c>
      <c r="P112" s="48"/>
      <c r="Q112" s="40">
        <f t="shared" si="2"/>
        <v>15092.49</v>
      </c>
      <c r="R112" s="41"/>
      <c r="S112" s="46">
        <v>92</v>
      </c>
      <c r="T112" s="53" t="s">
        <v>113</v>
      </c>
      <c r="U112" s="49">
        <v>4591.58</v>
      </c>
      <c r="V112" s="48">
        <v>4225.53</v>
      </c>
      <c r="W112" s="42">
        <v>4587.46</v>
      </c>
      <c r="X112" s="50"/>
      <c r="Y112" s="50"/>
      <c r="Z112" s="50"/>
      <c r="AA112" s="50"/>
      <c r="AB112" s="51"/>
      <c r="AC112" s="51"/>
      <c r="AD112" s="51"/>
      <c r="AE112" s="51"/>
      <c r="AF112" s="51"/>
      <c r="AG112" s="39">
        <f t="shared" si="3"/>
        <v>13404.57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2" customHeight="1">
      <c r="A113" s="46">
        <v>93</v>
      </c>
      <c r="B113" s="53" t="s">
        <v>114</v>
      </c>
      <c r="C113" s="48">
        <v>5817.16</v>
      </c>
      <c r="D113" s="48">
        <v>5817.16</v>
      </c>
      <c r="E113" s="48">
        <v>5817.16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>
        <f>367.7+21.07+111.52+500.29+500.29</f>
        <v>1500.87</v>
      </c>
      <c r="P113" s="48"/>
      <c r="Q113" s="40">
        <f t="shared" si="2"/>
        <v>18952.35</v>
      </c>
      <c r="R113" s="41"/>
      <c r="S113" s="46">
        <v>93</v>
      </c>
      <c r="T113" s="53" t="s">
        <v>114</v>
      </c>
      <c r="U113" s="49">
        <v>6115.7</v>
      </c>
      <c r="V113" s="48">
        <v>5016.46</v>
      </c>
      <c r="W113" s="42">
        <v>5077.89</v>
      </c>
      <c r="X113" s="50"/>
      <c r="Y113" s="50"/>
      <c r="Z113" s="50"/>
      <c r="AA113" s="50"/>
      <c r="AB113" s="51"/>
      <c r="AC113" s="51"/>
      <c r="AD113" s="51"/>
      <c r="AE113" s="51"/>
      <c r="AF113" s="51"/>
      <c r="AG113" s="39">
        <f t="shared" si="3"/>
        <v>16210.05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2" customHeight="1">
      <c r="A114" s="46">
        <v>94</v>
      </c>
      <c r="B114" s="53" t="s">
        <v>115</v>
      </c>
      <c r="C114" s="48">
        <v>1438.39</v>
      </c>
      <c r="D114" s="48">
        <v>1438.39</v>
      </c>
      <c r="E114" s="48">
        <v>1438.39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0">
        <f t="shared" si="2"/>
        <v>4315.17</v>
      </c>
      <c r="R114" s="41"/>
      <c r="S114" s="46">
        <v>94</v>
      </c>
      <c r="T114" s="53" t="s">
        <v>115</v>
      </c>
      <c r="U114" s="49">
        <v>1005.69</v>
      </c>
      <c r="V114" s="48">
        <v>998.76</v>
      </c>
      <c r="W114" s="42">
        <v>1278.84</v>
      </c>
      <c r="X114" s="50"/>
      <c r="Y114" s="50"/>
      <c r="Z114" s="50"/>
      <c r="AA114" s="50"/>
      <c r="AB114" s="51"/>
      <c r="AC114" s="51"/>
      <c r="AD114" s="51"/>
      <c r="AE114" s="51"/>
      <c r="AF114" s="51"/>
      <c r="AG114" s="39">
        <f t="shared" si="3"/>
        <v>3283.29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2" customHeight="1">
      <c r="A115" s="46">
        <v>95</v>
      </c>
      <c r="B115" s="53" t="s">
        <v>116</v>
      </c>
      <c r="C115" s="48">
        <v>3157.44</v>
      </c>
      <c r="D115" s="48">
        <v>3157.44</v>
      </c>
      <c r="E115" s="48">
        <v>3157.44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>
        <f>379.34+13.52+219.08+305.97</f>
        <v>917.91</v>
      </c>
      <c r="P115" s="48">
        <f>1038.68+1150.2+1150.2</f>
        <v>3339.08</v>
      </c>
      <c r="Q115" s="40">
        <f t="shared" si="2"/>
        <v>13729.31</v>
      </c>
      <c r="R115" s="41"/>
      <c r="S115" s="46">
        <v>95</v>
      </c>
      <c r="T115" s="53" t="s">
        <v>116</v>
      </c>
      <c r="U115" s="49">
        <v>3391.79</v>
      </c>
      <c r="V115" s="48">
        <v>3126.28</v>
      </c>
      <c r="W115" s="42">
        <v>4906.32</v>
      </c>
      <c r="X115" s="50"/>
      <c r="Y115" s="50"/>
      <c r="Z115" s="50"/>
      <c r="AA115" s="50"/>
      <c r="AB115" s="51"/>
      <c r="AC115" s="51"/>
      <c r="AD115" s="51"/>
      <c r="AE115" s="51"/>
      <c r="AF115" s="51"/>
      <c r="AG115" s="39">
        <f t="shared" si="3"/>
        <v>11424.39</v>
      </c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2" customHeight="1">
      <c r="A116" s="46">
        <v>96</v>
      </c>
      <c r="B116" s="53" t="s">
        <v>117</v>
      </c>
      <c r="C116" s="48">
        <v>4204.4</v>
      </c>
      <c r="D116" s="48">
        <v>4204.4</v>
      </c>
      <c r="E116" s="48">
        <v>4204.4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>
        <f>322.4+12.07+205.72+247.88</f>
        <v>788.07</v>
      </c>
      <c r="P116" s="48">
        <f>1573.17+1648.89+1648.89</f>
        <v>4870.95</v>
      </c>
      <c r="Q116" s="40">
        <f t="shared" si="2"/>
        <v>18272.22</v>
      </c>
      <c r="R116" s="41"/>
      <c r="S116" s="46">
        <v>96</v>
      </c>
      <c r="T116" s="53" t="s">
        <v>117</v>
      </c>
      <c r="U116" s="49">
        <v>4471.93</v>
      </c>
      <c r="V116" s="48">
        <v>4309.98</v>
      </c>
      <c r="W116" s="42">
        <v>5909.67</v>
      </c>
      <c r="X116" s="50"/>
      <c r="Y116" s="50"/>
      <c r="Z116" s="50"/>
      <c r="AA116" s="50"/>
      <c r="AB116" s="51"/>
      <c r="AC116" s="51"/>
      <c r="AD116" s="51"/>
      <c r="AE116" s="51"/>
      <c r="AF116" s="51"/>
      <c r="AG116" s="39">
        <f t="shared" si="3"/>
        <v>14691.58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2" customHeight="1">
      <c r="A117" s="46">
        <v>97</v>
      </c>
      <c r="B117" s="53" t="s">
        <v>118</v>
      </c>
      <c r="C117" s="48">
        <v>5816.41</v>
      </c>
      <c r="D117" s="48">
        <v>5816.41</v>
      </c>
      <c r="E117" s="48">
        <v>5816.41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>
        <f>421.82+19.61+402.46+402.46</f>
        <v>1246.35</v>
      </c>
      <c r="P117" s="48">
        <f>3127.66+3326.68+3326.68</f>
        <v>9781.02</v>
      </c>
      <c r="Q117" s="40">
        <f t="shared" si="2"/>
        <v>28476.6</v>
      </c>
      <c r="R117" s="41"/>
      <c r="S117" s="46">
        <v>97</v>
      </c>
      <c r="T117" s="53" t="s">
        <v>118</v>
      </c>
      <c r="U117" s="49">
        <v>4532.59</v>
      </c>
      <c r="V117" s="48">
        <v>4353.16</v>
      </c>
      <c r="W117" s="42">
        <v>4416.37</v>
      </c>
      <c r="X117" s="50"/>
      <c r="Y117" s="50"/>
      <c r="Z117" s="50"/>
      <c r="AA117" s="50"/>
      <c r="AB117" s="51"/>
      <c r="AC117" s="51"/>
      <c r="AD117" s="51"/>
      <c r="AE117" s="51"/>
      <c r="AF117" s="51"/>
      <c r="AG117" s="39">
        <f t="shared" si="3"/>
        <v>13302.12</v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2" customHeight="1">
      <c r="A118" s="46">
        <v>98</v>
      </c>
      <c r="B118" s="53" t="s">
        <v>119</v>
      </c>
      <c r="C118" s="48">
        <v>24380</v>
      </c>
      <c r="D118" s="48">
        <v>24380</v>
      </c>
      <c r="E118" s="48">
        <v>24380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>
        <f>1794.61+71.71+1078.3+1472.31</f>
        <v>4416.93</v>
      </c>
      <c r="P118" s="48">
        <f>6878.78+7073.77+7073.77</f>
        <v>21026.32</v>
      </c>
      <c r="Q118" s="40">
        <f t="shared" si="2"/>
        <v>98583.25</v>
      </c>
      <c r="R118" s="41"/>
      <c r="S118" s="46">
        <v>98</v>
      </c>
      <c r="T118" s="53" t="s">
        <v>119</v>
      </c>
      <c r="U118" s="49">
        <v>25251.46</v>
      </c>
      <c r="V118" s="48">
        <v>23764.76</v>
      </c>
      <c r="W118" s="42">
        <v>24496.18</v>
      </c>
      <c r="X118" s="50"/>
      <c r="Y118" s="50"/>
      <c r="Z118" s="50"/>
      <c r="AA118" s="50"/>
      <c r="AB118" s="51"/>
      <c r="AC118" s="51"/>
      <c r="AD118" s="51"/>
      <c r="AE118" s="51"/>
      <c r="AF118" s="51"/>
      <c r="AG118" s="39">
        <f t="shared" si="3"/>
        <v>73512.4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2" customHeight="1">
      <c r="A119" s="46">
        <v>99</v>
      </c>
      <c r="B119" s="53" t="s">
        <v>120</v>
      </c>
      <c r="C119" s="48">
        <v>23735.08</v>
      </c>
      <c r="D119" s="48">
        <v>23735.08</v>
      </c>
      <c r="E119" s="48">
        <v>23735.08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>
        <f>1496.31+61.63+973.64+1265.79</f>
        <v>3797.37</v>
      </c>
      <c r="P119" s="48">
        <f>4995.12+5333.85+5333.85</f>
        <v>15662.82</v>
      </c>
      <c r="Q119" s="40">
        <f t="shared" si="2"/>
        <v>90665.43</v>
      </c>
      <c r="R119" s="41"/>
      <c r="S119" s="46">
        <v>99</v>
      </c>
      <c r="T119" s="53" t="s">
        <v>120</v>
      </c>
      <c r="U119" s="49">
        <v>28892.35</v>
      </c>
      <c r="V119" s="48">
        <v>24431.67</v>
      </c>
      <c r="W119" s="42">
        <v>26958.47</v>
      </c>
      <c r="X119" s="50"/>
      <c r="Y119" s="50"/>
      <c r="Z119" s="50"/>
      <c r="AA119" s="50"/>
      <c r="AB119" s="51"/>
      <c r="AC119" s="51"/>
      <c r="AD119" s="51"/>
      <c r="AE119" s="51"/>
      <c r="AF119" s="51"/>
      <c r="AG119" s="39">
        <f t="shared" si="3"/>
        <v>80282.49</v>
      </c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2" customHeight="1">
      <c r="A120" s="46">
        <v>100</v>
      </c>
      <c r="B120" s="53" t="s">
        <v>121</v>
      </c>
      <c r="C120" s="48">
        <v>25127.04</v>
      </c>
      <c r="D120" s="48">
        <v>25127.04</v>
      </c>
      <c r="E120" s="48">
        <v>25127.04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>
        <f>1736.14+71.97+1145.67+1476.89</f>
        <v>4430.67</v>
      </c>
      <c r="P120" s="48">
        <f>7975.13+8281.79+8281.79</f>
        <v>24538.71</v>
      </c>
      <c r="Q120" s="40">
        <f t="shared" si="2"/>
        <v>104350.5</v>
      </c>
      <c r="R120" s="41"/>
      <c r="S120" s="46">
        <v>100</v>
      </c>
      <c r="T120" s="53" t="s">
        <v>121</v>
      </c>
      <c r="U120" s="49">
        <v>30959.28</v>
      </c>
      <c r="V120" s="48">
        <v>30229.41</v>
      </c>
      <c r="W120" s="42">
        <v>29339.07</v>
      </c>
      <c r="X120" s="50"/>
      <c r="Y120" s="50"/>
      <c r="Z120" s="50"/>
      <c r="AA120" s="50"/>
      <c r="AB120" s="51"/>
      <c r="AC120" s="51"/>
      <c r="AD120" s="51"/>
      <c r="AE120" s="51"/>
      <c r="AF120" s="51"/>
      <c r="AG120" s="39">
        <f t="shared" si="3"/>
        <v>90527.76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2" customHeight="1">
      <c r="A121" s="46">
        <v>101</v>
      </c>
      <c r="B121" s="53" t="s">
        <v>122</v>
      </c>
      <c r="C121" s="48">
        <v>4664.4</v>
      </c>
      <c r="D121" s="48">
        <v>4664.4</v>
      </c>
      <c r="E121" s="48">
        <v>4664.4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>
        <f>423.8+21.69+126.01+571.5+571.5</f>
        <v>1714.5</v>
      </c>
      <c r="P121" s="48"/>
      <c r="Q121" s="40">
        <f t="shared" si="2"/>
        <v>15707.7</v>
      </c>
      <c r="R121" s="41"/>
      <c r="S121" s="46">
        <v>101</v>
      </c>
      <c r="T121" s="53" t="s">
        <v>122</v>
      </c>
      <c r="U121" s="49">
        <v>4470.02</v>
      </c>
      <c r="V121" s="48">
        <v>4355.28</v>
      </c>
      <c r="W121" s="42">
        <v>4866.92</v>
      </c>
      <c r="X121" s="50"/>
      <c r="Y121" s="50"/>
      <c r="Z121" s="50"/>
      <c r="AA121" s="50"/>
      <c r="AB121" s="51"/>
      <c r="AC121" s="51"/>
      <c r="AD121" s="51"/>
      <c r="AE121" s="51"/>
      <c r="AF121" s="51"/>
      <c r="AG121" s="39">
        <f t="shared" si="3"/>
        <v>13692.22</v>
      </c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2" customHeight="1">
      <c r="A122" s="46">
        <v>102</v>
      </c>
      <c r="B122" s="53" t="s">
        <v>123</v>
      </c>
      <c r="C122" s="48">
        <v>36451.56</v>
      </c>
      <c r="D122" s="48">
        <v>36451.56</v>
      </c>
      <c r="E122" s="48">
        <v>36451.56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>
        <f>2570.18+108.38+743.27+3421.83+3421.83</f>
        <v>10265.49</v>
      </c>
      <c r="P122" s="48"/>
      <c r="Q122" s="40">
        <f t="shared" si="2"/>
        <v>119620.17</v>
      </c>
      <c r="R122" s="41"/>
      <c r="S122" s="46">
        <v>102</v>
      </c>
      <c r="T122" s="53" t="s">
        <v>123</v>
      </c>
      <c r="U122" s="49">
        <v>34717.52</v>
      </c>
      <c r="V122" s="48">
        <v>27774.14</v>
      </c>
      <c r="W122" s="42">
        <v>32193.56</v>
      </c>
      <c r="X122" s="50"/>
      <c r="Y122" s="50"/>
      <c r="Z122" s="50"/>
      <c r="AA122" s="50"/>
      <c r="AB122" s="51"/>
      <c r="AC122" s="51"/>
      <c r="AD122" s="51"/>
      <c r="AE122" s="51"/>
      <c r="AF122" s="51"/>
      <c r="AG122" s="39">
        <f t="shared" si="3"/>
        <v>94685.22</v>
      </c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2" customHeight="1">
      <c r="A123" s="46">
        <v>103</v>
      </c>
      <c r="B123" s="53" t="s">
        <v>124</v>
      </c>
      <c r="C123" s="48">
        <v>39835.31</v>
      </c>
      <c r="D123" s="48">
        <v>39832.21</v>
      </c>
      <c r="E123" s="48">
        <v>39832.21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>
        <f>3028.02+129.32+3110.45+3110.45</f>
        <v>9378.24</v>
      </c>
      <c r="P123" s="48">
        <f>612.46+659.28+659.28</f>
        <v>1931.02</v>
      </c>
      <c r="Q123" s="40">
        <f t="shared" si="2"/>
        <v>130808.99</v>
      </c>
      <c r="R123" s="41"/>
      <c r="S123" s="46">
        <v>103</v>
      </c>
      <c r="T123" s="53" t="s">
        <v>124</v>
      </c>
      <c r="U123" s="49">
        <v>36392.14</v>
      </c>
      <c r="V123" s="48">
        <v>33537.43</v>
      </c>
      <c r="W123" s="42">
        <v>34305.65</v>
      </c>
      <c r="X123" s="50"/>
      <c r="Y123" s="50"/>
      <c r="Z123" s="50"/>
      <c r="AA123" s="50"/>
      <c r="AB123" s="51"/>
      <c r="AC123" s="51"/>
      <c r="AD123" s="51"/>
      <c r="AE123" s="51"/>
      <c r="AF123" s="51"/>
      <c r="AG123" s="39">
        <f t="shared" si="3"/>
        <v>104235.22</v>
      </c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2" customHeight="1">
      <c r="A124" s="46">
        <v>104</v>
      </c>
      <c r="B124" s="53" t="s">
        <v>125</v>
      </c>
      <c r="C124" s="48">
        <v>44988.57</v>
      </c>
      <c r="D124" s="48">
        <v>44998.92</v>
      </c>
      <c r="E124" s="48">
        <v>44998.92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>
        <f>2601.79+133.2+894.6+3614.4+3614.4</f>
        <v>10858.39</v>
      </c>
      <c r="P124" s="48">
        <f>201.27+201.27+201.27</f>
        <v>603.81</v>
      </c>
      <c r="Q124" s="40">
        <f t="shared" si="2"/>
        <v>146448.61</v>
      </c>
      <c r="R124" s="41"/>
      <c r="S124" s="46">
        <v>104</v>
      </c>
      <c r="T124" s="53" t="s">
        <v>125</v>
      </c>
      <c r="U124" s="49">
        <v>41832.85</v>
      </c>
      <c r="V124" s="48">
        <v>37876.67</v>
      </c>
      <c r="W124" s="42">
        <v>47022.38</v>
      </c>
      <c r="X124" s="50"/>
      <c r="Y124" s="50"/>
      <c r="Z124" s="50"/>
      <c r="AA124" s="50"/>
      <c r="AB124" s="51"/>
      <c r="AC124" s="51"/>
      <c r="AD124" s="51"/>
      <c r="AE124" s="51"/>
      <c r="AF124" s="51"/>
      <c r="AG124" s="39">
        <f t="shared" si="3"/>
        <v>126731.9</v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2" customHeight="1">
      <c r="A125" s="46">
        <v>105</v>
      </c>
      <c r="B125" s="53" t="s">
        <v>126</v>
      </c>
      <c r="C125" s="48">
        <v>27149.22</v>
      </c>
      <c r="D125" s="48">
        <v>27155.43</v>
      </c>
      <c r="E125" s="48">
        <v>27155.43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>
        <f>2092.72+67.06+2159.78+2159.78</f>
        <v>6479.34</v>
      </c>
      <c r="P125" s="48"/>
      <c r="Q125" s="40">
        <f t="shared" si="2"/>
        <v>87939.42</v>
      </c>
      <c r="R125" s="41"/>
      <c r="S125" s="46">
        <v>105</v>
      </c>
      <c r="T125" s="53" t="s">
        <v>126</v>
      </c>
      <c r="U125" s="49">
        <v>24746.59</v>
      </c>
      <c r="V125" s="48">
        <v>24537.04</v>
      </c>
      <c r="W125" s="42">
        <v>23145.54</v>
      </c>
      <c r="X125" s="50"/>
      <c r="Y125" s="50"/>
      <c r="Z125" s="50"/>
      <c r="AA125" s="50"/>
      <c r="AB125" s="51"/>
      <c r="AC125" s="51"/>
      <c r="AD125" s="51"/>
      <c r="AE125" s="51"/>
      <c r="AF125" s="51"/>
      <c r="AG125" s="39">
        <f t="shared" si="3"/>
        <v>72429.17</v>
      </c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2" customHeight="1">
      <c r="A126" s="46">
        <v>106</v>
      </c>
      <c r="B126" s="53" t="s">
        <v>127</v>
      </c>
      <c r="C126" s="48">
        <v>1727.23</v>
      </c>
      <c r="D126" s="48">
        <v>1727.23</v>
      </c>
      <c r="E126" s="48">
        <v>1727.23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0">
        <f t="shared" si="2"/>
        <v>5181.69</v>
      </c>
      <c r="R126" s="41"/>
      <c r="S126" s="46">
        <v>106</v>
      </c>
      <c r="T126" s="53" t="s">
        <v>127</v>
      </c>
      <c r="U126" s="49">
        <v>1542.78</v>
      </c>
      <c r="V126" s="48">
        <v>1452.12</v>
      </c>
      <c r="W126" s="42">
        <v>1816.93</v>
      </c>
      <c r="X126" s="50"/>
      <c r="Y126" s="50"/>
      <c r="Z126" s="50"/>
      <c r="AA126" s="50"/>
      <c r="AB126" s="51"/>
      <c r="AC126" s="51"/>
      <c r="AD126" s="51"/>
      <c r="AE126" s="51"/>
      <c r="AF126" s="51"/>
      <c r="AG126" s="39">
        <f t="shared" si="3"/>
        <v>4811.83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2" customHeight="1">
      <c r="A127" s="46">
        <v>107</v>
      </c>
      <c r="B127" s="53" t="s">
        <v>128</v>
      </c>
      <c r="C127" s="48">
        <v>17363.28</v>
      </c>
      <c r="D127" s="48">
        <v>17363.28</v>
      </c>
      <c r="E127" s="48">
        <v>17363.28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>
        <f>1067.97+54.67+1020.56+1071.6</f>
        <v>3214.8</v>
      </c>
      <c r="P127" s="48">
        <f>816.83+786.12+786.12</f>
        <v>2389.07</v>
      </c>
      <c r="Q127" s="40">
        <f t="shared" si="2"/>
        <v>57693.71</v>
      </c>
      <c r="R127" s="41"/>
      <c r="S127" s="46">
        <v>107</v>
      </c>
      <c r="T127" s="53" t="s">
        <v>128</v>
      </c>
      <c r="U127" s="49">
        <v>18850.5</v>
      </c>
      <c r="V127" s="48">
        <v>16320.93</v>
      </c>
      <c r="W127" s="42">
        <v>15510.37</v>
      </c>
      <c r="X127" s="50"/>
      <c r="Y127" s="50"/>
      <c r="Z127" s="50"/>
      <c r="AA127" s="50"/>
      <c r="AB127" s="51"/>
      <c r="AC127" s="51"/>
      <c r="AD127" s="51"/>
      <c r="AE127" s="51"/>
      <c r="AF127" s="51"/>
      <c r="AG127" s="39">
        <f t="shared" si="3"/>
        <v>50681.8</v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2" customHeight="1">
      <c r="A128" s="46">
        <v>108</v>
      </c>
      <c r="B128" s="53" t="s">
        <v>129</v>
      </c>
      <c r="C128" s="48">
        <v>1515.58</v>
      </c>
      <c r="D128" s="48">
        <v>1515.58</v>
      </c>
      <c r="E128" s="48">
        <v>1515.58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0">
        <f t="shared" si="2"/>
        <v>4546.74</v>
      </c>
      <c r="R128" s="41"/>
      <c r="S128" s="46">
        <v>108</v>
      </c>
      <c r="T128" s="53" t="s">
        <v>129</v>
      </c>
      <c r="U128" s="49">
        <v>1814.57</v>
      </c>
      <c r="V128" s="48">
        <v>1544.93</v>
      </c>
      <c r="W128" s="42">
        <v>1811.16</v>
      </c>
      <c r="X128" s="50"/>
      <c r="Y128" s="50"/>
      <c r="Z128" s="50"/>
      <c r="AA128" s="50"/>
      <c r="AB128" s="51"/>
      <c r="AC128" s="51"/>
      <c r="AD128" s="51"/>
      <c r="AE128" s="51"/>
      <c r="AF128" s="51"/>
      <c r="AG128" s="39">
        <f t="shared" si="3"/>
        <v>5170.66</v>
      </c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2" customHeight="1">
      <c r="A129" s="46">
        <v>109</v>
      </c>
      <c r="B129" s="53" t="s">
        <v>130</v>
      </c>
      <c r="C129" s="48">
        <v>28743.13</v>
      </c>
      <c r="D129" s="48">
        <v>28735.89</v>
      </c>
      <c r="E129" s="48">
        <v>28735.89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>
        <f>2157.8+110.53+737.61+2976.39+2976.39</f>
        <v>8958.72</v>
      </c>
      <c r="P129" s="48"/>
      <c r="Q129" s="40">
        <f t="shared" si="2"/>
        <v>95173.63</v>
      </c>
      <c r="R129" s="41"/>
      <c r="S129" s="46">
        <v>109</v>
      </c>
      <c r="T129" s="53" t="s">
        <v>130</v>
      </c>
      <c r="U129" s="49">
        <v>80719.13</v>
      </c>
      <c r="V129" s="48">
        <v>24958.01</v>
      </c>
      <c r="W129" s="42">
        <v>29934.38</v>
      </c>
      <c r="X129" s="50"/>
      <c r="Y129" s="50"/>
      <c r="Z129" s="50"/>
      <c r="AA129" s="50"/>
      <c r="AB129" s="51"/>
      <c r="AC129" s="51"/>
      <c r="AD129" s="51"/>
      <c r="AE129" s="51"/>
      <c r="AF129" s="51"/>
      <c r="AG129" s="39">
        <f t="shared" si="3"/>
        <v>135611.52</v>
      </c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2" customHeight="1">
      <c r="A130" s="46">
        <v>110</v>
      </c>
      <c r="B130" s="53" t="s">
        <v>131</v>
      </c>
      <c r="C130" s="48">
        <v>40416.98</v>
      </c>
      <c r="D130" s="48">
        <v>40416.98</v>
      </c>
      <c r="E130" s="48">
        <v>40425.26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>
        <f>2721.89+128.66+2850.55+2851.4</f>
        <v>8552.5</v>
      </c>
      <c r="P130" s="48"/>
      <c r="Q130" s="40">
        <f t="shared" si="2"/>
        <v>129811.72</v>
      </c>
      <c r="R130" s="41"/>
      <c r="S130" s="46">
        <v>110</v>
      </c>
      <c r="T130" s="53" t="s">
        <v>131</v>
      </c>
      <c r="U130" s="49">
        <v>41851.65</v>
      </c>
      <c r="V130" s="48">
        <v>34115.61</v>
      </c>
      <c r="W130" s="42">
        <v>34667.44</v>
      </c>
      <c r="X130" s="50"/>
      <c r="Y130" s="50"/>
      <c r="Z130" s="50"/>
      <c r="AA130" s="50"/>
      <c r="AB130" s="51"/>
      <c r="AC130" s="51"/>
      <c r="AD130" s="51"/>
      <c r="AE130" s="51"/>
      <c r="AF130" s="51"/>
      <c r="AG130" s="39">
        <f t="shared" si="3"/>
        <v>110634.7</v>
      </c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2" customHeight="1">
      <c r="A131" s="46">
        <v>111</v>
      </c>
      <c r="B131" s="53" t="s">
        <v>132</v>
      </c>
      <c r="C131" s="48">
        <v>25412.24</v>
      </c>
      <c r="D131" s="48">
        <v>25412.24</v>
      </c>
      <c r="E131" s="48">
        <v>25412.24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>
        <f>1896.6+90.85+597.37+2584.82+2584.82</f>
        <v>7754.46</v>
      </c>
      <c r="P131" s="48"/>
      <c r="Q131" s="40">
        <f t="shared" si="2"/>
        <v>83991.18</v>
      </c>
      <c r="R131" s="41"/>
      <c r="S131" s="46">
        <v>111</v>
      </c>
      <c r="T131" s="53" t="s">
        <v>132</v>
      </c>
      <c r="U131" s="49">
        <v>25048.8</v>
      </c>
      <c r="V131" s="48">
        <v>28646.38</v>
      </c>
      <c r="W131" s="42">
        <v>29506.43</v>
      </c>
      <c r="X131" s="50"/>
      <c r="Y131" s="50"/>
      <c r="Z131" s="50"/>
      <c r="AA131" s="50"/>
      <c r="AB131" s="51"/>
      <c r="AC131" s="51"/>
      <c r="AD131" s="51"/>
      <c r="AE131" s="51"/>
      <c r="AF131" s="51"/>
      <c r="AG131" s="39">
        <f t="shared" si="3"/>
        <v>83201.61</v>
      </c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2" customHeight="1">
      <c r="A132" s="46">
        <v>112</v>
      </c>
      <c r="B132" s="53" t="s">
        <v>133</v>
      </c>
      <c r="C132" s="48">
        <v>10337.61</v>
      </c>
      <c r="D132" s="48">
        <v>10337.61</v>
      </c>
      <c r="E132" s="48">
        <v>10337.61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>
        <f>1043.79+53.42+249.34+1252.96+1252.96</f>
        <v>3852.47</v>
      </c>
      <c r="P132" s="48">
        <f>641.93+735.52+735.52</f>
        <v>2112.97</v>
      </c>
      <c r="Q132" s="40">
        <f t="shared" si="2"/>
        <v>36978.27</v>
      </c>
      <c r="R132" s="41"/>
      <c r="S132" s="46">
        <v>112</v>
      </c>
      <c r="T132" s="53" t="s">
        <v>133</v>
      </c>
      <c r="U132" s="49">
        <v>9461.07</v>
      </c>
      <c r="V132" s="48">
        <v>8742.47</v>
      </c>
      <c r="W132" s="42">
        <v>10980.79</v>
      </c>
      <c r="X132" s="50"/>
      <c r="Y132" s="50"/>
      <c r="Z132" s="50"/>
      <c r="AA132" s="50"/>
      <c r="AB132" s="51"/>
      <c r="AC132" s="51"/>
      <c r="AD132" s="51"/>
      <c r="AE132" s="51"/>
      <c r="AF132" s="51"/>
      <c r="AG132" s="39">
        <f t="shared" si="3"/>
        <v>29184.33</v>
      </c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2" customHeight="1">
      <c r="A133" s="46">
        <v>113</v>
      </c>
      <c r="B133" s="53" t="s">
        <v>134</v>
      </c>
      <c r="C133" s="48">
        <v>30660.94</v>
      </c>
      <c r="D133" s="48">
        <v>30660.94</v>
      </c>
      <c r="E133" s="48">
        <v>30660.94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>
        <f>1734.43+88.31+592.85+2415.59+2415.59</f>
        <v>7246.77</v>
      </c>
      <c r="P133" s="48"/>
      <c r="Q133" s="40">
        <f t="shared" si="2"/>
        <v>99229.59</v>
      </c>
      <c r="R133" s="41"/>
      <c r="S133" s="46">
        <v>113</v>
      </c>
      <c r="T133" s="53" t="s">
        <v>134</v>
      </c>
      <c r="U133" s="49">
        <v>27122.87</v>
      </c>
      <c r="V133" s="48">
        <v>25101.43</v>
      </c>
      <c r="W133" s="42">
        <v>32552.22</v>
      </c>
      <c r="X133" s="50"/>
      <c r="Y133" s="50"/>
      <c r="Z133" s="50"/>
      <c r="AA133" s="50"/>
      <c r="AB133" s="51"/>
      <c r="AC133" s="51"/>
      <c r="AD133" s="51"/>
      <c r="AE133" s="51"/>
      <c r="AF133" s="51"/>
      <c r="AG133" s="39">
        <f t="shared" si="3"/>
        <v>84776.52</v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2" customHeight="1">
      <c r="A134" s="46">
        <v>114</v>
      </c>
      <c r="B134" s="53" t="s">
        <v>135</v>
      </c>
      <c r="C134" s="48">
        <v>13358.95</v>
      </c>
      <c r="D134" s="48">
        <v>13358.95</v>
      </c>
      <c r="E134" s="48">
        <v>13358.95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>
        <f>1120.71+57.41+57.87+1104.05+1170.14</f>
        <v>3510.18</v>
      </c>
      <c r="P134" s="48">
        <f>719.11+782.39+782.39</f>
        <v>2283.89</v>
      </c>
      <c r="Q134" s="40">
        <f t="shared" si="2"/>
        <v>45870.92</v>
      </c>
      <c r="R134" s="41"/>
      <c r="S134" s="46">
        <v>114</v>
      </c>
      <c r="T134" s="53" t="s">
        <v>135</v>
      </c>
      <c r="U134" s="49">
        <v>12260.82</v>
      </c>
      <c r="V134" s="48">
        <v>13447.62</v>
      </c>
      <c r="W134" s="42">
        <v>14229.62</v>
      </c>
      <c r="X134" s="50"/>
      <c r="Y134" s="50"/>
      <c r="Z134" s="50"/>
      <c r="AA134" s="50"/>
      <c r="AB134" s="51"/>
      <c r="AC134" s="51"/>
      <c r="AD134" s="51"/>
      <c r="AE134" s="51"/>
      <c r="AF134" s="51"/>
      <c r="AG134" s="39">
        <f t="shared" si="3"/>
        <v>39938.06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2" customHeight="1">
      <c r="A135" s="46">
        <v>115</v>
      </c>
      <c r="B135" s="53" t="s">
        <v>136</v>
      </c>
      <c r="C135" s="48">
        <v>17339.48</v>
      </c>
      <c r="D135" s="48">
        <v>17339.48</v>
      </c>
      <c r="E135" s="48">
        <v>17339.48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>
        <f>1010.86+51.16+323.75+1385.98+1385.98</f>
        <v>4157.73</v>
      </c>
      <c r="P135" s="48"/>
      <c r="Q135" s="40">
        <f t="shared" si="2"/>
        <v>56176.17</v>
      </c>
      <c r="R135" s="41"/>
      <c r="S135" s="46">
        <v>115</v>
      </c>
      <c r="T135" s="53" t="s">
        <v>136</v>
      </c>
      <c r="U135" s="49">
        <v>15683.23</v>
      </c>
      <c r="V135" s="48">
        <v>14799.29</v>
      </c>
      <c r="W135" s="42">
        <v>17877.91</v>
      </c>
      <c r="X135" s="50"/>
      <c r="Y135" s="50"/>
      <c r="Z135" s="50"/>
      <c r="AA135" s="50"/>
      <c r="AB135" s="51"/>
      <c r="AC135" s="51"/>
      <c r="AD135" s="51"/>
      <c r="AE135" s="51"/>
      <c r="AF135" s="51"/>
      <c r="AG135" s="39">
        <f t="shared" si="3"/>
        <v>48360.43</v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2" customHeight="1">
      <c r="A136" s="46">
        <v>116</v>
      </c>
      <c r="B136" s="53" t="s">
        <v>137</v>
      </c>
      <c r="C136" s="48">
        <v>14444.86</v>
      </c>
      <c r="D136" s="48">
        <v>14444.86</v>
      </c>
      <c r="E136" s="48">
        <v>14481.6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>
        <f>741.64+37.38+251.07+1030.09+1030.09</f>
        <v>3090.27</v>
      </c>
      <c r="P136" s="48"/>
      <c r="Q136" s="40">
        <f t="shared" si="2"/>
        <v>46461.59</v>
      </c>
      <c r="R136" s="41"/>
      <c r="S136" s="46">
        <v>116</v>
      </c>
      <c r="T136" s="53" t="s">
        <v>137</v>
      </c>
      <c r="U136" s="49">
        <v>12823.61</v>
      </c>
      <c r="V136" s="48">
        <v>12166.41</v>
      </c>
      <c r="W136" s="42">
        <v>14507.8</v>
      </c>
      <c r="X136" s="50"/>
      <c r="Y136" s="50"/>
      <c r="Z136" s="50"/>
      <c r="AA136" s="50"/>
      <c r="AB136" s="51"/>
      <c r="AC136" s="51"/>
      <c r="AD136" s="51"/>
      <c r="AE136" s="51"/>
      <c r="AF136" s="51"/>
      <c r="AG136" s="39">
        <f t="shared" si="3"/>
        <v>39497.82</v>
      </c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2" customHeight="1">
      <c r="A137" s="46">
        <v>117</v>
      </c>
      <c r="B137" s="53" t="s">
        <v>138</v>
      </c>
      <c r="C137" s="48">
        <v>11503.68</v>
      </c>
      <c r="D137" s="48">
        <v>11503.68</v>
      </c>
      <c r="E137" s="48">
        <v>11503.68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>
        <f>863.95+44.23+297.07+900.73+1052.99</f>
        <v>3158.97</v>
      </c>
      <c r="P137" s="48">
        <f>1669.98+1822.24+1822.24</f>
        <v>5314.46</v>
      </c>
      <c r="Q137" s="40">
        <f t="shared" si="2"/>
        <v>42984.47</v>
      </c>
      <c r="R137" s="41"/>
      <c r="S137" s="46">
        <v>117</v>
      </c>
      <c r="T137" s="53" t="s">
        <v>138</v>
      </c>
      <c r="U137" s="49">
        <v>11526.17</v>
      </c>
      <c r="V137" s="48">
        <v>10438.42</v>
      </c>
      <c r="W137" s="42">
        <v>13603.44</v>
      </c>
      <c r="X137" s="50"/>
      <c r="Y137" s="50"/>
      <c r="Z137" s="50"/>
      <c r="AA137" s="50"/>
      <c r="AB137" s="51"/>
      <c r="AC137" s="51"/>
      <c r="AD137" s="51"/>
      <c r="AE137" s="51"/>
      <c r="AF137" s="51"/>
      <c r="AG137" s="39">
        <f t="shared" si="3"/>
        <v>35568.03</v>
      </c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" customHeight="1">
      <c r="A138" s="46">
        <v>118</v>
      </c>
      <c r="B138" s="53" t="s">
        <v>139</v>
      </c>
      <c r="C138" s="48">
        <v>17210.44</v>
      </c>
      <c r="D138" s="48">
        <v>17210.44</v>
      </c>
      <c r="E138" s="48">
        <v>17210.44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>
        <f>906.47+46.42+889.54+989.54</f>
        <v>2831.97</v>
      </c>
      <c r="P138" s="48">
        <f>1259.54+1287.81+1287.81</f>
        <v>3835.16</v>
      </c>
      <c r="Q138" s="40">
        <f t="shared" si="2"/>
        <v>58298.45</v>
      </c>
      <c r="R138" s="41"/>
      <c r="S138" s="46">
        <v>118</v>
      </c>
      <c r="T138" s="53" t="s">
        <v>139</v>
      </c>
      <c r="U138" s="49">
        <v>18709.82</v>
      </c>
      <c r="V138" s="48">
        <v>17772.54</v>
      </c>
      <c r="W138" s="42">
        <v>17819.76</v>
      </c>
      <c r="X138" s="50"/>
      <c r="Y138" s="50"/>
      <c r="Z138" s="50"/>
      <c r="AA138" s="50"/>
      <c r="AB138" s="51"/>
      <c r="AC138" s="51"/>
      <c r="AD138" s="51"/>
      <c r="AE138" s="51"/>
      <c r="AF138" s="51"/>
      <c r="AG138" s="39">
        <f t="shared" si="3"/>
        <v>54302.12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2" customHeight="1">
      <c r="A139" s="46">
        <v>119</v>
      </c>
      <c r="B139" s="53" t="s">
        <v>140</v>
      </c>
      <c r="C139" s="48">
        <v>23103.04</v>
      </c>
      <c r="D139" s="48">
        <v>23103.04</v>
      </c>
      <c r="E139" s="48">
        <v>23103.04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>
        <f>1422.27+69+722.22+1142.37</f>
        <v>3355.86</v>
      </c>
      <c r="P139" s="48">
        <f>4073.46+4260.72+4260.72</f>
        <v>12594.9</v>
      </c>
      <c r="Q139" s="40">
        <f t="shared" si="2"/>
        <v>85259.88</v>
      </c>
      <c r="R139" s="41"/>
      <c r="S139" s="46">
        <v>119</v>
      </c>
      <c r="T139" s="53" t="s">
        <v>140</v>
      </c>
      <c r="U139" s="49">
        <v>30323.33</v>
      </c>
      <c r="V139" s="48">
        <v>22094.11</v>
      </c>
      <c r="W139" s="42">
        <v>19985.71</v>
      </c>
      <c r="X139" s="50"/>
      <c r="Y139" s="50"/>
      <c r="Z139" s="50"/>
      <c r="AA139" s="50"/>
      <c r="AB139" s="51"/>
      <c r="AC139" s="51"/>
      <c r="AD139" s="51"/>
      <c r="AE139" s="51"/>
      <c r="AF139" s="51"/>
      <c r="AG139" s="39">
        <f t="shared" si="3"/>
        <v>72403.15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2" customHeight="1">
      <c r="A140" s="46">
        <v>120</v>
      </c>
      <c r="B140" s="53" t="s">
        <v>141</v>
      </c>
      <c r="C140" s="48">
        <v>7002.86</v>
      </c>
      <c r="D140" s="48">
        <v>7002.86</v>
      </c>
      <c r="E140" s="48">
        <v>7002.86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>
        <f>461.72+18.73+308.82+384.38</f>
        <v>1173.65</v>
      </c>
      <c r="P140" s="48">
        <f>1798.33+1894.4+1894.4</f>
        <v>5587.13</v>
      </c>
      <c r="Q140" s="40">
        <f t="shared" si="2"/>
        <v>27769.36</v>
      </c>
      <c r="R140" s="41"/>
      <c r="S140" s="46">
        <v>120</v>
      </c>
      <c r="T140" s="53" t="s">
        <v>141</v>
      </c>
      <c r="U140" s="49">
        <v>8357.58</v>
      </c>
      <c r="V140" s="48">
        <v>6333.77</v>
      </c>
      <c r="W140" s="42">
        <v>6723.84</v>
      </c>
      <c r="X140" s="50"/>
      <c r="Y140" s="50"/>
      <c r="Z140" s="50"/>
      <c r="AA140" s="50"/>
      <c r="AB140" s="51"/>
      <c r="AC140" s="51"/>
      <c r="AD140" s="51"/>
      <c r="AE140" s="51"/>
      <c r="AF140" s="51"/>
      <c r="AG140" s="39">
        <f t="shared" si="3"/>
        <v>21415.19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2" customHeight="1">
      <c r="A141" s="46">
        <v>121</v>
      </c>
      <c r="B141" s="53" t="s">
        <v>142</v>
      </c>
      <c r="C141" s="48">
        <v>13559.88</v>
      </c>
      <c r="D141" s="48">
        <v>13559.88</v>
      </c>
      <c r="E141" s="48">
        <v>13559.88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>
        <f>680.13+34.84+685.89+700.43</f>
        <v>2101.29</v>
      </c>
      <c r="P141" s="48">
        <f>281.52+296.06+296.06</f>
        <v>873.64</v>
      </c>
      <c r="Q141" s="40">
        <f t="shared" si="2"/>
        <v>43654.57</v>
      </c>
      <c r="R141" s="41"/>
      <c r="S141" s="46">
        <v>121</v>
      </c>
      <c r="T141" s="53" t="s">
        <v>142</v>
      </c>
      <c r="U141" s="49">
        <v>16354.57</v>
      </c>
      <c r="V141" s="48">
        <v>11056.49</v>
      </c>
      <c r="W141" s="42">
        <v>13183.47</v>
      </c>
      <c r="X141" s="50"/>
      <c r="Y141" s="50"/>
      <c r="Z141" s="50"/>
      <c r="AA141" s="50"/>
      <c r="AB141" s="51"/>
      <c r="AC141" s="51"/>
      <c r="AD141" s="51"/>
      <c r="AE141" s="51"/>
      <c r="AF141" s="51"/>
      <c r="AG141" s="39">
        <f t="shared" si="3"/>
        <v>40594.53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2" customHeight="1">
      <c r="A142" s="46">
        <v>122</v>
      </c>
      <c r="B142" s="53" t="s">
        <v>143</v>
      </c>
      <c r="C142" s="48">
        <v>32188.88</v>
      </c>
      <c r="D142" s="48">
        <v>32188.88</v>
      </c>
      <c r="E142" s="48">
        <v>32175.42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>
        <f>1942.35+93.24+2035.59+2035.59</f>
        <v>6106.77</v>
      </c>
      <c r="P142" s="48"/>
      <c r="Q142" s="40">
        <f t="shared" si="2"/>
        <v>102659.95</v>
      </c>
      <c r="R142" s="41"/>
      <c r="S142" s="46">
        <v>122</v>
      </c>
      <c r="T142" s="53" t="s">
        <v>143</v>
      </c>
      <c r="U142" s="49">
        <v>36687.15</v>
      </c>
      <c r="V142" s="48">
        <v>30774.01</v>
      </c>
      <c r="W142" s="42">
        <v>27199.96</v>
      </c>
      <c r="X142" s="50"/>
      <c r="Y142" s="50"/>
      <c r="Z142" s="50"/>
      <c r="AA142" s="50"/>
      <c r="AB142" s="51"/>
      <c r="AC142" s="51"/>
      <c r="AD142" s="51"/>
      <c r="AE142" s="51"/>
      <c r="AF142" s="51"/>
      <c r="AG142" s="39">
        <f t="shared" si="3"/>
        <v>94661.12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" customHeight="1">
      <c r="A143" s="46">
        <v>123</v>
      </c>
      <c r="B143" s="53" t="s">
        <v>144</v>
      </c>
      <c r="C143" s="48">
        <v>12350.08</v>
      </c>
      <c r="D143" s="48">
        <v>12350.08</v>
      </c>
      <c r="E143" s="48">
        <v>12350.08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>
        <f>922.77+46.14+775.19+873.82</f>
        <v>2617.92</v>
      </c>
      <c r="P143" s="48">
        <f>1497.34+1550.84+1550.84</f>
        <v>4599.02</v>
      </c>
      <c r="Q143" s="40">
        <f t="shared" si="2"/>
        <v>44267.18</v>
      </c>
      <c r="R143" s="41"/>
      <c r="S143" s="46">
        <v>123</v>
      </c>
      <c r="T143" s="53" t="s">
        <v>144</v>
      </c>
      <c r="U143" s="49">
        <v>18412.14</v>
      </c>
      <c r="V143" s="48">
        <v>25074.04</v>
      </c>
      <c r="W143" s="42">
        <v>13678.98</v>
      </c>
      <c r="X143" s="50"/>
      <c r="Y143" s="50"/>
      <c r="Z143" s="50"/>
      <c r="AA143" s="50"/>
      <c r="AB143" s="51"/>
      <c r="AC143" s="51"/>
      <c r="AD143" s="51"/>
      <c r="AE143" s="51"/>
      <c r="AF143" s="51"/>
      <c r="AG143" s="39">
        <f t="shared" si="3"/>
        <v>57165.16</v>
      </c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2" customHeight="1">
      <c r="A144" s="37">
        <v>124</v>
      </c>
      <c r="B144" s="53" t="s">
        <v>145</v>
      </c>
      <c r="C144" s="48">
        <v>23348.68</v>
      </c>
      <c r="D144" s="48">
        <v>23348.68</v>
      </c>
      <c r="E144" s="48">
        <v>23348.68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>
        <f>1962+95.19+569.44+2565.57+2565.57</f>
        <v>7757.77</v>
      </c>
      <c r="P144" s="48">
        <f>1084.29+1112.34+1112.34</f>
        <v>3308.97</v>
      </c>
      <c r="Q144" s="40">
        <f t="shared" si="2"/>
        <v>81112.78</v>
      </c>
      <c r="R144" s="41"/>
      <c r="S144" s="37">
        <v>124</v>
      </c>
      <c r="T144" s="53" t="s">
        <v>145</v>
      </c>
      <c r="U144" s="49">
        <v>29756.15</v>
      </c>
      <c r="V144" s="48">
        <v>27242.69</v>
      </c>
      <c r="W144" s="42">
        <v>32084.35</v>
      </c>
      <c r="X144" s="50"/>
      <c r="Y144" s="50"/>
      <c r="Z144" s="50"/>
      <c r="AA144" s="50"/>
      <c r="AB144" s="51"/>
      <c r="AC144" s="51"/>
      <c r="AD144" s="51"/>
      <c r="AE144" s="51"/>
      <c r="AF144" s="51"/>
      <c r="AG144" s="39">
        <f t="shared" si="3"/>
        <v>89083.19</v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2" customHeight="1">
      <c r="A145" s="46">
        <v>125</v>
      </c>
      <c r="B145" s="53" t="s">
        <v>146</v>
      </c>
      <c r="C145" s="48">
        <v>24095.72</v>
      </c>
      <c r="D145" s="48">
        <v>24095.72</v>
      </c>
      <c r="E145" s="48">
        <v>24095.72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>
        <f>1782.8+89.27+559.07+2403.88+2403.88</f>
        <v>7238.9</v>
      </c>
      <c r="P145" s="48"/>
      <c r="Q145" s="40">
        <f t="shared" si="2"/>
        <v>79526.06</v>
      </c>
      <c r="R145" s="41"/>
      <c r="S145" s="46">
        <v>125</v>
      </c>
      <c r="T145" s="53" t="s">
        <v>146</v>
      </c>
      <c r="U145" s="49">
        <v>29051.15</v>
      </c>
      <c r="V145" s="48">
        <v>26783.78</v>
      </c>
      <c r="W145" s="42">
        <v>28337.75</v>
      </c>
      <c r="X145" s="50"/>
      <c r="Y145" s="50"/>
      <c r="Z145" s="50"/>
      <c r="AA145" s="50"/>
      <c r="AB145" s="51"/>
      <c r="AC145" s="51"/>
      <c r="AD145" s="51"/>
      <c r="AE145" s="51"/>
      <c r="AF145" s="51"/>
      <c r="AG145" s="39">
        <f t="shared" si="3"/>
        <v>84172.68</v>
      </c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2" customHeight="1">
      <c r="A146" s="62">
        <v>126</v>
      </c>
      <c r="B146" s="53" t="s">
        <v>147</v>
      </c>
      <c r="C146" s="48">
        <v>16212.33</v>
      </c>
      <c r="D146" s="48">
        <v>16212.33</v>
      </c>
      <c r="E146" s="48">
        <v>16212.33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>
        <f>901.19+45.28+277.28+1223.75+1223.75</f>
        <v>3671.25</v>
      </c>
      <c r="P146" s="48"/>
      <c r="Q146" s="40">
        <f t="shared" si="2"/>
        <v>52308.24</v>
      </c>
      <c r="R146" s="41"/>
      <c r="S146" s="62">
        <v>126</v>
      </c>
      <c r="T146" s="53" t="s">
        <v>147</v>
      </c>
      <c r="U146" s="49">
        <v>16810.96</v>
      </c>
      <c r="V146" s="48">
        <v>16442.51</v>
      </c>
      <c r="W146" s="42">
        <v>16918.59</v>
      </c>
      <c r="X146" s="50"/>
      <c r="Y146" s="50"/>
      <c r="Z146" s="50"/>
      <c r="AA146" s="50"/>
      <c r="AB146" s="51"/>
      <c r="AC146" s="51"/>
      <c r="AD146" s="51"/>
      <c r="AE146" s="51"/>
      <c r="AF146" s="51"/>
      <c r="AG146" s="39">
        <f t="shared" si="3"/>
        <v>50172.06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2" customHeight="1">
      <c r="A147" s="46">
        <v>126</v>
      </c>
      <c r="B147" s="53" t="s">
        <v>148</v>
      </c>
      <c r="C147" s="48">
        <v>16184.39</v>
      </c>
      <c r="D147" s="48">
        <v>16184.39</v>
      </c>
      <c r="E147" s="48">
        <v>16176.11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>
        <f>901.19+45.26+277.22+1223.67+1223.81</f>
        <v>3671.15</v>
      </c>
      <c r="P147" s="48"/>
      <c r="Q147" s="40">
        <f t="shared" si="2"/>
        <v>52216.04</v>
      </c>
      <c r="R147" s="41"/>
      <c r="S147" s="46">
        <v>126</v>
      </c>
      <c r="T147" s="53" t="s">
        <v>148</v>
      </c>
      <c r="U147" s="49">
        <v>11568.47</v>
      </c>
      <c r="V147" s="48">
        <v>14901.97</v>
      </c>
      <c r="W147" s="42">
        <v>16156.95</v>
      </c>
      <c r="X147" s="50"/>
      <c r="Y147" s="50"/>
      <c r="Z147" s="50"/>
      <c r="AA147" s="50"/>
      <c r="AB147" s="51"/>
      <c r="AC147" s="51"/>
      <c r="AD147" s="51"/>
      <c r="AE147" s="51"/>
      <c r="AF147" s="51"/>
      <c r="AG147" s="39">
        <f t="shared" si="3"/>
        <v>42627.39</v>
      </c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2" customHeight="1">
      <c r="A148" s="46">
        <v>127</v>
      </c>
      <c r="B148" s="53" t="s">
        <v>149</v>
      </c>
      <c r="C148" s="48">
        <v>15193.8</v>
      </c>
      <c r="D148" s="48">
        <v>15193.8</v>
      </c>
      <c r="E148" s="48">
        <v>15193.8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>
        <f>1128.79+56.46+1050.9+1052.96</f>
        <v>3289.11</v>
      </c>
      <c r="P148" s="48">
        <f>773.51+1424.68+1424.68</f>
        <v>3622.87</v>
      </c>
      <c r="Q148" s="40">
        <f t="shared" si="2"/>
        <v>52493.38</v>
      </c>
      <c r="R148" s="41"/>
      <c r="S148" s="46">
        <v>127</v>
      </c>
      <c r="T148" s="53" t="s">
        <v>149</v>
      </c>
      <c r="U148" s="49">
        <v>15552.81</v>
      </c>
      <c r="V148" s="48">
        <v>15457.66</v>
      </c>
      <c r="W148" s="49">
        <v>18527.48</v>
      </c>
      <c r="X148" s="50"/>
      <c r="Y148" s="50"/>
      <c r="Z148" s="50"/>
      <c r="AA148" s="50"/>
      <c r="AB148" s="51"/>
      <c r="AC148" s="51"/>
      <c r="AD148" s="51"/>
      <c r="AE148" s="51"/>
      <c r="AF148" s="51"/>
      <c r="AG148" s="48">
        <f t="shared" si="3"/>
        <v>49537.95</v>
      </c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2" customHeight="1">
      <c r="A149" s="46">
        <v>128</v>
      </c>
      <c r="B149" s="53" t="s">
        <v>150</v>
      </c>
      <c r="C149" s="39">
        <v>11292.08</v>
      </c>
      <c r="D149" s="39">
        <v>11292.08</v>
      </c>
      <c r="E149" s="39">
        <v>11292.08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48">
        <f>604.26+30.93+594.13+614.66</f>
        <v>1843.98</v>
      </c>
      <c r="P149" s="39">
        <f>377.2+397.73+397.73</f>
        <v>1172.66</v>
      </c>
      <c r="Q149" s="40">
        <f t="shared" si="2"/>
        <v>36892.88</v>
      </c>
      <c r="R149" s="41"/>
      <c r="S149" s="46">
        <v>128</v>
      </c>
      <c r="T149" s="63" t="s">
        <v>150</v>
      </c>
      <c r="U149" s="64">
        <v>15751.7</v>
      </c>
      <c r="V149" s="48">
        <v>15563.8</v>
      </c>
      <c r="W149" s="42">
        <v>14094</v>
      </c>
      <c r="X149" s="44"/>
      <c r="Y149" s="44"/>
      <c r="Z149" s="44"/>
      <c r="AA149" s="44"/>
      <c r="AB149" s="45"/>
      <c r="AC149" s="45"/>
      <c r="AD149" s="45"/>
      <c r="AE149" s="45"/>
      <c r="AF149" s="45"/>
      <c r="AG149" s="39">
        <f t="shared" si="3"/>
        <v>45409.5</v>
      </c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2" customHeight="1">
      <c r="A150" s="46">
        <v>129</v>
      </c>
      <c r="B150" s="53" t="s">
        <v>151</v>
      </c>
      <c r="C150" s="48">
        <v>2467.44</v>
      </c>
      <c r="D150" s="48">
        <v>2467.44</v>
      </c>
      <c r="E150" s="48">
        <v>2467.44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>
        <f>81.11+4.14+85.25+85.25</f>
        <v>255.75</v>
      </c>
      <c r="P150" s="48"/>
      <c r="Q150" s="40">
        <f t="shared" si="2"/>
        <v>7658.07</v>
      </c>
      <c r="R150" s="41"/>
      <c r="S150" s="46">
        <v>129</v>
      </c>
      <c r="T150" s="53" t="s">
        <v>151</v>
      </c>
      <c r="U150" s="65">
        <v>3030.01</v>
      </c>
      <c r="V150" s="39">
        <v>3272.73</v>
      </c>
      <c r="W150" s="42">
        <v>3719.51</v>
      </c>
      <c r="X150" s="50"/>
      <c r="Y150" s="50"/>
      <c r="Z150" s="50"/>
      <c r="AA150" s="50"/>
      <c r="AB150" s="51"/>
      <c r="AC150" s="51"/>
      <c r="AD150" s="51"/>
      <c r="AE150" s="51"/>
      <c r="AF150" s="51"/>
      <c r="AG150" s="39">
        <f t="shared" si="3"/>
        <v>10022.25</v>
      </c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2" customHeight="1">
      <c r="A151" s="46">
        <v>130</v>
      </c>
      <c r="B151" s="53" t="s">
        <v>152</v>
      </c>
      <c r="C151" s="48">
        <v>11243.32</v>
      </c>
      <c r="D151" s="48">
        <v>11243.32</v>
      </c>
      <c r="E151" s="48">
        <v>11243.32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>
        <f>596.44+30.95+177.7+734.34+773.39</f>
        <v>2312.82</v>
      </c>
      <c r="P151" s="48">
        <f>912.22+938.45+938.45</f>
        <v>2789.12</v>
      </c>
      <c r="Q151" s="40">
        <f t="shared" si="2"/>
        <v>38831.9</v>
      </c>
      <c r="R151" s="41"/>
      <c r="S151" s="46">
        <v>130</v>
      </c>
      <c r="T151" s="53" t="s">
        <v>152</v>
      </c>
      <c r="U151" s="65">
        <v>13241.29</v>
      </c>
      <c r="V151" s="48">
        <v>12720.67</v>
      </c>
      <c r="W151" s="42">
        <v>17413.91</v>
      </c>
      <c r="X151" s="50"/>
      <c r="Y151" s="50"/>
      <c r="Z151" s="50"/>
      <c r="AA151" s="50"/>
      <c r="AB151" s="51"/>
      <c r="AC151" s="51"/>
      <c r="AD151" s="51"/>
      <c r="AE151" s="51"/>
      <c r="AF151" s="51"/>
      <c r="AG151" s="39">
        <f t="shared" si="3"/>
        <v>43375.87</v>
      </c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2" customHeight="1">
      <c r="A152" s="46">
        <v>131</v>
      </c>
      <c r="B152" s="53" t="s">
        <v>153</v>
      </c>
      <c r="C152" s="48">
        <v>5914.68</v>
      </c>
      <c r="D152" s="48">
        <v>5914.68</v>
      </c>
      <c r="E152" s="48">
        <v>5914.68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>
        <f>307.39+15.74+323.13+323.13</f>
        <v>969.39</v>
      </c>
      <c r="P152" s="48"/>
      <c r="Q152" s="40">
        <f t="shared" si="2"/>
        <v>18713.43</v>
      </c>
      <c r="R152" s="41"/>
      <c r="S152" s="46">
        <v>131</v>
      </c>
      <c r="T152" s="53" t="s">
        <v>153</v>
      </c>
      <c r="U152" s="65">
        <v>5870.31</v>
      </c>
      <c r="V152" s="48">
        <v>6123.54</v>
      </c>
      <c r="W152" s="42">
        <v>8024.87</v>
      </c>
      <c r="X152" s="50"/>
      <c r="Y152" s="50"/>
      <c r="Z152" s="50"/>
      <c r="AA152" s="50"/>
      <c r="AB152" s="51"/>
      <c r="AC152" s="51"/>
      <c r="AD152" s="51"/>
      <c r="AE152" s="51"/>
      <c r="AF152" s="51"/>
      <c r="AG152" s="39">
        <f t="shared" si="3"/>
        <v>20018.72</v>
      </c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2" customHeight="1">
      <c r="A153" s="46">
        <v>132</v>
      </c>
      <c r="B153" s="53" t="s">
        <v>154</v>
      </c>
      <c r="C153" s="48">
        <v>5136.36</v>
      </c>
      <c r="D153" s="48">
        <v>5136.36</v>
      </c>
      <c r="E153" s="48">
        <v>5136.36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8">
        <f>322.43+16.52+260.98+300.13</f>
        <v>900.06</v>
      </c>
      <c r="P153" s="48">
        <f>670.68+709.83+709.83</f>
        <v>2090.34</v>
      </c>
      <c r="Q153" s="40">
        <f t="shared" si="2"/>
        <v>18399.48</v>
      </c>
      <c r="R153" s="41"/>
      <c r="S153" s="46">
        <v>132</v>
      </c>
      <c r="T153" s="53" t="s">
        <v>154</v>
      </c>
      <c r="U153" s="65">
        <v>5780.71</v>
      </c>
      <c r="V153" s="48">
        <v>5536.61</v>
      </c>
      <c r="W153" s="42">
        <v>7825.22</v>
      </c>
      <c r="X153" s="50"/>
      <c r="Y153" s="50"/>
      <c r="Z153" s="50"/>
      <c r="AA153" s="50"/>
      <c r="AB153" s="51"/>
      <c r="AC153" s="51"/>
      <c r="AD153" s="51"/>
      <c r="AE153" s="51"/>
      <c r="AF153" s="51"/>
      <c r="AG153" s="39">
        <f t="shared" si="3"/>
        <v>19142.54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2" customHeight="1">
      <c r="A154" s="46">
        <v>133</v>
      </c>
      <c r="B154" s="53" t="s">
        <v>155</v>
      </c>
      <c r="C154" s="48">
        <v>4928.81</v>
      </c>
      <c r="D154" s="48">
        <v>4928.81</v>
      </c>
      <c r="E154" s="48">
        <v>4928.81</v>
      </c>
      <c r="F154" s="48"/>
      <c r="G154" s="48"/>
      <c r="H154" s="48"/>
      <c r="I154" s="48"/>
      <c r="J154" s="48"/>
      <c r="K154" s="48"/>
      <c r="L154" s="48"/>
      <c r="M154" s="48"/>
      <c r="N154" s="48"/>
      <c r="O154" s="48">
        <f>307.37+15.73+323.1+323.1</f>
        <v>969.3</v>
      </c>
      <c r="P154" s="48"/>
      <c r="Q154" s="40">
        <f t="shared" si="2"/>
        <v>15755.73</v>
      </c>
      <c r="R154" s="41"/>
      <c r="S154" s="46">
        <v>133</v>
      </c>
      <c r="T154" s="53" t="s">
        <v>155</v>
      </c>
      <c r="U154" s="65">
        <v>6914.04</v>
      </c>
      <c r="V154" s="48">
        <v>7005.37</v>
      </c>
      <c r="W154" s="42">
        <v>7291.92</v>
      </c>
      <c r="X154" s="50"/>
      <c r="Y154" s="50"/>
      <c r="Z154" s="50"/>
      <c r="AA154" s="50"/>
      <c r="AB154" s="51"/>
      <c r="AC154" s="51"/>
      <c r="AD154" s="51"/>
      <c r="AE154" s="51"/>
      <c r="AF154" s="51"/>
      <c r="AG154" s="39">
        <f t="shared" si="3"/>
        <v>21211.33</v>
      </c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2" customHeight="1">
      <c r="A155" s="46">
        <v>134</v>
      </c>
      <c r="B155" s="53" t="s">
        <v>156</v>
      </c>
      <c r="C155" s="48">
        <v>8171.53</v>
      </c>
      <c r="D155" s="48">
        <v>8171.53</v>
      </c>
      <c r="E155" s="48">
        <v>8171.53</v>
      </c>
      <c r="F155" s="48"/>
      <c r="G155" s="48"/>
      <c r="H155" s="48"/>
      <c r="I155" s="48"/>
      <c r="J155" s="48"/>
      <c r="K155" s="48"/>
      <c r="L155" s="48"/>
      <c r="M155" s="48"/>
      <c r="N155" s="48"/>
      <c r="O155" s="48">
        <f>461.7+23.65+423.47+447.45</f>
        <v>1356.27</v>
      </c>
      <c r="P155" s="48">
        <f>384.83+407.94+407.94</f>
        <v>1200.71</v>
      </c>
      <c r="Q155" s="40">
        <f t="shared" si="2"/>
        <v>27071.57</v>
      </c>
      <c r="R155" s="41"/>
      <c r="S155" s="46">
        <v>134</v>
      </c>
      <c r="T155" s="53" t="s">
        <v>156</v>
      </c>
      <c r="U155" s="65">
        <v>8692.69</v>
      </c>
      <c r="V155" s="48">
        <v>10717.01</v>
      </c>
      <c r="W155" s="42">
        <v>13923.7</v>
      </c>
      <c r="X155" s="50"/>
      <c r="Y155" s="50"/>
      <c r="Z155" s="50"/>
      <c r="AA155" s="50"/>
      <c r="AB155" s="51"/>
      <c r="AC155" s="51"/>
      <c r="AD155" s="51"/>
      <c r="AE155" s="51"/>
      <c r="AF155" s="51"/>
      <c r="AG155" s="39">
        <f t="shared" si="3"/>
        <v>33333.4</v>
      </c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2" customHeight="1">
      <c r="A156" s="46">
        <v>135</v>
      </c>
      <c r="B156" s="53" t="s">
        <v>157</v>
      </c>
      <c r="C156" s="48">
        <v>5835.1</v>
      </c>
      <c r="D156" s="48">
        <v>5835.1</v>
      </c>
      <c r="E156" s="48">
        <v>5835.1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>
        <f>313.92+15.16+293.6+311.34</f>
        <v>934.02</v>
      </c>
      <c r="P156" s="48"/>
      <c r="Q156" s="40">
        <f t="shared" si="2"/>
        <v>18439.32</v>
      </c>
      <c r="R156" s="41"/>
      <c r="S156" s="46">
        <v>135</v>
      </c>
      <c r="T156" s="53" t="s">
        <v>157</v>
      </c>
      <c r="U156" s="65">
        <v>6052.38</v>
      </c>
      <c r="V156" s="48">
        <v>4910.99</v>
      </c>
      <c r="W156" s="42">
        <v>7395.63</v>
      </c>
      <c r="X156" s="50"/>
      <c r="Y156" s="50"/>
      <c r="Z156" s="50"/>
      <c r="AA156" s="50"/>
      <c r="AB156" s="51"/>
      <c r="AC156" s="51"/>
      <c r="AD156" s="51"/>
      <c r="AE156" s="51"/>
      <c r="AF156" s="51"/>
      <c r="AG156" s="39">
        <f t="shared" si="3"/>
        <v>18359</v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2" customHeight="1">
      <c r="A157" s="46">
        <v>136</v>
      </c>
      <c r="B157" s="53" t="s">
        <v>158</v>
      </c>
      <c r="C157" s="48">
        <v>5756.52</v>
      </c>
      <c r="D157" s="48">
        <v>5756.52</v>
      </c>
      <c r="E157" s="48">
        <v>5756.52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>
        <f>296.9+15.2+290.68+290.68</f>
        <v>893.46</v>
      </c>
      <c r="P157" s="48">
        <f>424.34+445.76+445.76</f>
        <v>1315.86</v>
      </c>
      <c r="Q157" s="40">
        <f t="shared" si="2"/>
        <v>19478.88</v>
      </c>
      <c r="R157" s="41"/>
      <c r="S157" s="46">
        <v>136</v>
      </c>
      <c r="T157" s="53" t="s">
        <v>158</v>
      </c>
      <c r="U157" s="65">
        <v>6343.68</v>
      </c>
      <c r="V157" s="48">
        <v>5862.24</v>
      </c>
      <c r="W157" s="42">
        <v>10030.59</v>
      </c>
      <c r="X157" s="50"/>
      <c r="Y157" s="50"/>
      <c r="Z157" s="50"/>
      <c r="AA157" s="50"/>
      <c r="AB157" s="51"/>
      <c r="AC157" s="51"/>
      <c r="AD157" s="51"/>
      <c r="AE157" s="51"/>
      <c r="AF157" s="51"/>
      <c r="AG157" s="39">
        <f t="shared" si="3"/>
        <v>22236.51</v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2" customHeight="1">
      <c r="A158" s="37">
        <v>137</v>
      </c>
      <c r="B158" s="47" t="s">
        <v>159</v>
      </c>
      <c r="C158" s="66">
        <v>5949.64</v>
      </c>
      <c r="D158" s="66">
        <v>5949.64</v>
      </c>
      <c r="E158" s="66">
        <v>5949.64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7">
        <f>322.46+16.52+338.98+338.98</f>
        <v>1016.94</v>
      </c>
      <c r="P158" s="48"/>
      <c r="Q158" s="40">
        <f t="shared" si="2"/>
        <v>18865.86</v>
      </c>
      <c r="R158" s="41"/>
      <c r="S158" s="37">
        <v>137</v>
      </c>
      <c r="T158" s="47" t="s">
        <v>159</v>
      </c>
      <c r="U158" s="65">
        <v>8235.95</v>
      </c>
      <c r="V158" s="48">
        <v>7111.83</v>
      </c>
      <c r="W158" s="42">
        <v>10196.24</v>
      </c>
      <c r="X158" s="50"/>
      <c r="Y158" s="50"/>
      <c r="Z158" s="50"/>
      <c r="AA158" s="50"/>
      <c r="AB158" s="51"/>
      <c r="AC158" s="51"/>
      <c r="AD158" s="51"/>
      <c r="AE158" s="51"/>
      <c r="AF158" s="51"/>
      <c r="AG158" s="39">
        <f t="shared" si="3"/>
        <v>25544.02</v>
      </c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3.5" customHeight="1">
      <c r="A159" s="10">
        <v>128</v>
      </c>
      <c r="B159" s="16" t="s">
        <v>3</v>
      </c>
      <c r="C159" s="55" t="s">
        <v>4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8"/>
      <c r="O159" s="13" t="s">
        <v>5</v>
      </c>
      <c r="P159" s="14" t="s">
        <v>6</v>
      </c>
      <c r="Q159" s="14" t="s">
        <v>7</v>
      </c>
      <c r="R159" s="15"/>
      <c r="S159" s="10" t="s">
        <v>2</v>
      </c>
      <c r="T159" s="16" t="s">
        <v>3</v>
      </c>
      <c r="U159" s="12" t="s">
        <v>8</v>
      </c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17" t="s">
        <v>9</v>
      </c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2" customHeight="1">
      <c r="A160" s="18"/>
      <c r="B160" s="18"/>
      <c r="C160" s="56" t="s">
        <v>10</v>
      </c>
      <c r="D160" s="57" t="s">
        <v>11</v>
      </c>
      <c r="E160" s="22" t="s">
        <v>12</v>
      </c>
      <c r="F160" s="22" t="s">
        <v>13</v>
      </c>
      <c r="G160" s="22" t="s">
        <v>14</v>
      </c>
      <c r="H160" s="57" t="s">
        <v>15</v>
      </c>
      <c r="I160" s="22" t="s">
        <v>16</v>
      </c>
      <c r="J160" s="57" t="s">
        <v>17</v>
      </c>
      <c r="K160" s="22" t="s">
        <v>18</v>
      </c>
      <c r="L160" s="68" t="s">
        <v>19</v>
      </c>
      <c r="M160" s="23" t="s">
        <v>20</v>
      </c>
      <c r="N160" s="22" t="s">
        <v>21</v>
      </c>
      <c r="O160" s="18"/>
      <c r="P160" s="18"/>
      <c r="Q160" s="18"/>
      <c r="R160" s="15"/>
      <c r="S160" s="18"/>
      <c r="T160" s="18"/>
      <c r="U160" s="20" t="s">
        <v>10</v>
      </c>
      <c r="V160" s="21" t="s">
        <v>11</v>
      </c>
      <c r="W160" s="20" t="s">
        <v>12</v>
      </c>
      <c r="X160" s="20" t="s">
        <v>13</v>
      </c>
      <c r="Y160" s="20" t="s">
        <v>14</v>
      </c>
      <c r="Z160" s="21" t="s">
        <v>15</v>
      </c>
      <c r="AA160" s="20" t="s">
        <v>16</v>
      </c>
      <c r="AB160" s="59" t="s">
        <v>17</v>
      </c>
      <c r="AC160" s="59" t="s">
        <v>18</v>
      </c>
      <c r="AD160" s="23" t="s">
        <v>19</v>
      </c>
      <c r="AE160" s="23" t="s">
        <v>20</v>
      </c>
      <c r="AF160" s="59" t="s">
        <v>21</v>
      </c>
      <c r="AG160" s="18"/>
      <c r="AH160" s="2"/>
      <c r="AI160" s="2"/>
      <c r="AJ160" s="2"/>
      <c r="AK160" s="24"/>
      <c r="AL160" s="25"/>
      <c r="AM160" s="25"/>
      <c r="AN160" s="25"/>
      <c r="AO160" s="2"/>
      <c r="AP160" s="25"/>
      <c r="AQ160" s="26"/>
    </row>
    <row r="161" spans="1:43" ht="11.25" customHeight="1">
      <c r="A161" s="18"/>
      <c r="B161" s="18"/>
      <c r="C161" s="60"/>
      <c r="E161" s="18"/>
      <c r="F161" s="18"/>
      <c r="G161" s="18"/>
      <c r="I161" s="18"/>
      <c r="K161" s="18"/>
      <c r="M161" s="18"/>
      <c r="N161" s="18"/>
      <c r="O161" s="18"/>
      <c r="P161" s="18"/>
      <c r="Q161" s="18"/>
      <c r="R161" s="15"/>
      <c r="S161" s="18"/>
      <c r="T161" s="18"/>
      <c r="U161" s="18"/>
      <c r="W161" s="18"/>
      <c r="X161" s="18"/>
      <c r="Y161" s="18"/>
      <c r="AA161" s="18"/>
      <c r="AB161" s="19"/>
      <c r="AC161" s="19"/>
      <c r="AD161" s="18"/>
      <c r="AE161" s="18"/>
      <c r="AF161" s="19"/>
      <c r="AG161" s="18"/>
      <c r="AH161" s="2"/>
      <c r="AI161" s="2"/>
      <c r="AJ161" s="2"/>
      <c r="AK161" s="24"/>
      <c r="AL161" s="27"/>
      <c r="AM161" s="27"/>
      <c r="AN161" s="27"/>
      <c r="AO161" s="2"/>
      <c r="AP161" s="27"/>
      <c r="AQ161" s="26"/>
    </row>
    <row r="162" spans="1:43" ht="12.75" customHeight="1">
      <c r="A162" s="18"/>
      <c r="B162" s="18"/>
      <c r="C162" s="60"/>
      <c r="E162" s="18"/>
      <c r="F162" s="18"/>
      <c r="G162" s="18"/>
      <c r="I162" s="18"/>
      <c r="K162" s="18"/>
      <c r="M162" s="18"/>
      <c r="N162" s="18"/>
      <c r="O162" s="18"/>
      <c r="P162" s="18"/>
      <c r="Q162" s="18"/>
      <c r="R162" s="15"/>
      <c r="S162" s="18"/>
      <c r="T162" s="18"/>
      <c r="U162" s="18"/>
      <c r="W162" s="18"/>
      <c r="X162" s="18"/>
      <c r="Y162" s="18"/>
      <c r="AA162" s="18"/>
      <c r="AB162" s="19"/>
      <c r="AC162" s="19"/>
      <c r="AD162" s="18"/>
      <c r="AE162" s="18"/>
      <c r="AF162" s="19"/>
      <c r="AG162" s="18"/>
      <c r="AH162" s="2"/>
      <c r="AI162" s="2"/>
      <c r="AJ162" s="2"/>
      <c r="AK162" s="24"/>
      <c r="AL162" s="25"/>
      <c r="AM162" s="25"/>
      <c r="AN162" s="25"/>
      <c r="AO162" s="2"/>
      <c r="AP162" s="25"/>
      <c r="AQ162" s="26"/>
    </row>
    <row r="163" spans="1:43" ht="11.25" customHeight="1">
      <c r="A163" s="18"/>
      <c r="B163" s="18"/>
      <c r="C163" s="60"/>
      <c r="E163" s="18"/>
      <c r="F163" s="18"/>
      <c r="G163" s="18"/>
      <c r="I163" s="18"/>
      <c r="K163" s="18"/>
      <c r="M163" s="18"/>
      <c r="N163" s="18"/>
      <c r="O163" s="18"/>
      <c r="P163" s="18"/>
      <c r="Q163" s="18"/>
      <c r="R163" s="15"/>
      <c r="S163" s="18"/>
      <c r="T163" s="18"/>
      <c r="U163" s="18"/>
      <c r="W163" s="18"/>
      <c r="X163" s="18"/>
      <c r="Y163" s="18"/>
      <c r="AA163" s="18"/>
      <c r="AB163" s="19"/>
      <c r="AC163" s="19"/>
      <c r="AD163" s="18"/>
      <c r="AE163" s="18"/>
      <c r="AF163" s="19"/>
      <c r="AG163" s="18"/>
      <c r="AH163" s="2"/>
      <c r="AI163" s="2"/>
      <c r="AJ163" s="2"/>
      <c r="AK163" s="24"/>
      <c r="AL163" s="24"/>
      <c r="AM163" s="24"/>
      <c r="AN163" s="24"/>
      <c r="AO163" s="2"/>
      <c r="AP163" s="24"/>
      <c r="AQ163" s="26"/>
    </row>
    <row r="164" spans="1:43" ht="12" customHeight="1">
      <c r="A164" s="18"/>
      <c r="B164" s="18"/>
      <c r="C164" s="60"/>
      <c r="E164" s="18"/>
      <c r="F164" s="18"/>
      <c r="G164" s="18"/>
      <c r="I164" s="18"/>
      <c r="K164" s="18"/>
      <c r="M164" s="18"/>
      <c r="N164" s="18"/>
      <c r="O164" s="18"/>
      <c r="P164" s="18"/>
      <c r="Q164" s="18"/>
      <c r="R164" s="15"/>
      <c r="S164" s="18"/>
      <c r="T164" s="18"/>
      <c r="U164" s="18"/>
      <c r="W164" s="18"/>
      <c r="X164" s="18"/>
      <c r="Y164" s="18"/>
      <c r="AA164" s="18"/>
      <c r="AB164" s="19"/>
      <c r="AC164" s="19"/>
      <c r="AD164" s="18"/>
      <c r="AE164" s="18"/>
      <c r="AF164" s="19"/>
      <c r="AG164" s="18"/>
      <c r="AH164" s="2"/>
      <c r="AI164" s="2"/>
      <c r="AJ164" s="2"/>
      <c r="AK164" s="24"/>
      <c r="AL164" s="24"/>
      <c r="AM164" s="24"/>
      <c r="AN164" s="24"/>
      <c r="AO164" s="2"/>
      <c r="AP164" s="24"/>
      <c r="AQ164" s="26"/>
    </row>
    <row r="165" spans="1:43" ht="13.5" customHeight="1">
      <c r="A165" s="28"/>
      <c r="B165" s="28"/>
      <c r="C165" s="61"/>
      <c r="E165" s="28"/>
      <c r="F165" s="28"/>
      <c r="G165" s="28"/>
      <c r="I165" s="28"/>
      <c r="K165" s="28"/>
      <c r="L165" s="69"/>
      <c r="M165" s="28"/>
      <c r="N165" s="28"/>
      <c r="O165" s="28"/>
      <c r="P165" s="28"/>
      <c r="Q165" s="28"/>
      <c r="R165" s="15"/>
      <c r="S165" s="28"/>
      <c r="T165" s="28"/>
      <c r="U165" s="28"/>
      <c r="W165" s="28"/>
      <c r="X165" s="28"/>
      <c r="Y165" s="28"/>
      <c r="AA165" s="28"/>
      <c r="AB165" s="29"/>
      <c r="AC165" s="29"/>
      <c r="AD165" s="28"/>
      <c r="AE165" s="28"/>
      <c r="AF165" s="29"/>
      <c r="AG165" s="28"/>
      <c r="AH165" s="2"/>
      <c r="AI165" s="2"/>
      <c r="AJ165" s="2"/>
      <c r="AK165" s="24"/>
      <c r="AL165" s="24"/>
      <c r="AM165" s="24"/>
      <c r="AN165" s="24"/>
      <c r="AO165" s="2"/>
      <c r="AP165" s="24"/>
      <c r="AQ165" s="26"/>
    </row>
    <row r="166" spans="1:43" ht="12" customHeight="1">
      <c r="A166" s="30">
        <v>1</v>
      </c>
      <c r="B166" s="30">
        <v>2</v>
      </c>
      <c r="C166" s="35">
        <v>3</v>
      </c>
      <c r="D166" s="34">
        <v>4</v>
      </c>
      <c r="E166" s="30">
        <v>5</v>
      </c>
      <c r="F166" s="34">
        <v>6</v>
      </c>
      <c r="G166" s="30">
        <v>7</v>
      </c>
      <c r="H166" s="34">
        <v>8</v>
      </c>
      <c r="I166" s="30">
        <v>9</v>
      </c>
      <c r="J166" s="30">
        <v>10</v>
      </c>
      <c r="K166" s="34">
        <v>11</v>
      </c>
      <c r="L166" s="30">
        <v>12</v>
      </c>
      <c r="M166" s="34">
        <v>12</v>
      </c>
      <c r="N166" s="30">
        <v>14</v>
      </c>
      <c r="O166" s="30"/>
      <c r="P166" s="30">
        <v>15</v>
      </c>
      <c r="Q166" s="30">
        <v>16</v>
      </c>
      <c r="R166" s="36"/>
      <c r="S166" s="30">
        <v>1</v>
      </c>
      <c r="T166" s="31">
        <v>2</v>
      </c>
      <c r="U166" s="30">
        <v>3</v>
      </c>
      <c r="V166" s="30">
        <v>4</v>
      </c>
      <c r="W166" s="34">
        <v>5</v>
      </c>
      <c r="X166" s="30">
        <v>6</v>
      </c>
      <c r="Y166" s="34">
        <v>7</v>
      </c>
      <c r="Z166" s="30">
        <v>8</v>
      </c>
      <c r="AA166" s="35">
        <v>9</v>
      </c>
      <c r="AB166" s="34">
        <v>10</v>
      </c>
      <c r="AC166" s="34">
        <v>11</v>
      </c>
      <c r="AD166" s="34">
        <v>12</v>
      </c>
      <c r="AE166" s="30">
        <v>13</v>
      </c>
      <c r="AF166" s="31">
        <v>14</v>
      </c>
      <c r="AG166" s="30">
        <v>15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2" customHeight="1">
      <c r="A167" s="46">
        <v>138</v>
      </c>
      <c r="B167" s="53" t="s">
        <v>160</v>
      </c>
      <c r="C167" s="48">
        <v>64079.83</v>
      </c>
      <c r="D167" s="48">
        <v>64068.8</v>
      </c>
      <c r="E167" s="48">
        <v>64068.8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>
        <f>5026.6+257.4+1695.61+6296.64+6296.64</f>
        <v>19572.89</v>
      </c>
      <c r="P167" s="48">
        <f>7632.78+7632.78+7632.78</f>
        <v>22898.34</v>
      </c>
      <c r="Q167" s="40">
        <f aca="true" t="shared" si="4" ref="Q167:Q188">SUM(C167:P167)</f>
        <v>234688.66</v>
      </c>
      <c r="R167" s="41"/>
      <c r="S167" s="46">
        <v>138</v>
      </c>
      <c r="T167" s="53" t="s">
        <v>160</v>
      </c>
      <c r="U167" s="65">
        <v>67200.97</v>
      </c>
      <c r="V167" s="43">
        <v>62483.4</v>
      </c>
      <c r="W167" s="42">
        <v>69966.35</v>
      </c>
      <c r="X167" s="50"/>
      <c r="Y167" s="50"/>
      <c r="Z167" s="50"/>
      <c r="AA167" s="50"/>
      <c r="AB167" s="51"/>
      <c r="AC167" s="51"/>
      <c r="AD167" s="51"/>
      <c r="AE167" s="51"/>
      <c r="AF167" s="51"/>
      <c r="AG167" s="39">
        <f aca="true" t="shared" si="5" ref="AG167:AG188">SUM(U167:AF167)</f>
        <v>199650.72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2" customHeight="1">
      <c r="A168" s="46">
        <v>139</v>
      </c>
      <c r="B168" s="53" t="s">
        <v>161</v>
      </c>
      <c r="C168" s="48">
        <v>34657.32</v>
      </c>
      <c r="D168" s="48">
        <v>34657.32</v>
      </c>
      <c r="E168" s="48">
        <v>34657.32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>
        <f>3015.11+138.66+915.29+3629.92+3849.49</f>
        <v>11548.47</v>
      </c>
      <c r="P168" s="48">
        <f>1971.61+2194.03+2194.03</f>
        <v>6359.67</v>
      </c>
      <c r="Q168" s="40">
        <f t="shared" si="4"/>
        <v>121880.1</v>
      </c>
      <c r="R168" s="41"/>
      <c r="S168" s="46">
        <v>139</v>
      </c>
      <c r="T168" s="53" t="s">
        <v>161</v>
      </c>
      <c r="U168" s="65">
        <v>34325.79</v>
      </c>
      <c r="V168" s="48">
        <v>34082.31</v>
      </c>
      <c r="W168" s="42">
        <v>52030.78</v>
      </c>
      <c r="X168" s="50"/>
      <c r="Y168" s="50"/>
      <c r="Z168" s="50"/>
      <c r="AA168" s="50"/>
      <c r="AB168" s="51"/>
      <c r="AC168" s="51"/>
      <c r="AD168" s="51"/>
      <c r="AE168" s="51"/>
      <c r="AF168" s="51"/>
      <c r="AG168" s="39">
        <f t="shared" si="5"/>
        <v>120438.88</v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2" customHeight="1">
      <c r="A169" s="46">
        <v>140</v>
      </c>
      <c r="B169" s="53" t="s">
        <v>162</v>
      </c>
      <c r="C169" s="48">
        <v>26783.96</v>
      </c>
      <c r="D169" s="48">
        <v>26797.76</v>
      </c>
      <c r="E169" s="48">
        <v>26797.76</v>
      </c>
      <c r="F169" s="48"/>
      <c r="G169" s="48"/>
      <c r="H169" s="48"/>
      <c r="I169" s="48"/>
      <c r="J169" s="48"/>
      <c r="K169" s="48"/>
      <c r="L169" s="48"/>
      <c r="M169" s="48"/>
      <c r="N169" s="48"/>
      <c r="O169" s="48">
        <f>2378.71+116.39+781.47+3276.57+3276.57</f>
        <v>9829.71</v>
      </c>
      <c r="P169" s="48"/>
      <c r="Q169" s="40">
        <f t="shared" si="4"/>
        <v>90209.19</v>
      </c>
      <c r="R169" s="41"/>
      <c r="S169" s="46">
        <v>140</v>
      </c>
      <c r="T169" s="53" t="s">
        <v>162</v>
      </c>
      <c r="U169" s="65">
        <v>26337.52</v>
      </c>
      <c r="V169" s="48">
        <v>24135.3</v>
      </c>
      <c r="W169" s="42">
        <v>28086.65</v>
      </c>
      <c r="X169" s="50"/>
      <c r="Y169" s="50"/>
      <c r="Z169" s="50"/>
      <c r="AA169" s="50"/>
      <c r="AB169" s="51"/>
      <c r="AC169" s="51"/>
      <c r="AD169" s="51"/>
      <c r="AE169" s="51"/>
      <c r="AF169" s="51"/>
      <c r="AG169" s="39">
        <f t="shared" si="5"/>
        <v>78559.47</v>
      </c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2" customHeight="1">
      <c r="A170" s="46">
        <v>141</v>
      </c>
      <c r="B170" s="53" t="s">
        <v>163</v>
      </c>
      <c r="C170" s="48">
        <v>26546.6</v>
      </c>
      <c r="D170" s="48">
        <v>26546.6</v>
      </c>
      <c r="E170" s="48">
        <v>26546.6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>
        <f>2272.66+116.36+781.49+3170.51+3170.51</f>
        <v>9511.53</v>
      </c>
      <c r="P170" s="48"/>
      <c r="Q170" s="40">
        <f t="shared" si="4"/>
        <v>89151.33</v>
      </c>
      <c r="R170" s="41"/>
      <c r="S170" s="46">
        <v>141</v>
      </c>
      <c r="T170" s="53" t="s">
        <v>163</v>
      </c>
      <c r="U170" s="65">
        <v>25950.22</v>
      </c>
      <c r="V170" s="48">
        <v>24917.27</v>
      </c>
      <c r="W170" s="42">
        <v>32109.24</v>
      </c>
      <c r="X170" s="50"/>
      <c r="Y170" s="50"/>
      <c r="Z170" s="50"/>
      <c r="AA170" s="50"/>
      <c r="AB170" s="51"/>
      <c r="AC170" s="51"/>
      <c r="AD170" s="51"/>
      <c r="AE170" s="51"/>
      <c r="AF170" s="51"/>
      <c r="AG170" s="39">
        <f t="shared" si="5"/>
        <v>82976.73</v>
      </c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2" customHeight="1">
      <c r="A171" s="46">
        <v>142</v>
      </c>
      <c r="B171" s="53" t="s">
        <v>164</v>
      </c>
      <c r="C171" s="48">
        <v>26673.56</v>
      </c>
      <c r="D171" s="48">
        <v>26673.56</v>
      </c>
      <c r="E171" s="48">
        <v>26704.84</v>
      </c>
      <c r="F171" s="48"/>
      <c r="G171" s="48"/>
      <c r="H171" s="48"/>
      <c r="I171" s="48"/>
      <c r="J171" s="48"/>
      <c r="K171" s="48"/>
      <c r="L171" s="48"/>
      <c r="M171" s="48"/>
      <c r="N171" s="48"/>
      <c r="O171" s="48">
        <f>2384.49+116.34+781.46+3282.29+3282.29</f>
        <v>9846.87</v>
      </c>
      <c r="P171" s="48"/>
      <c r="Q171" s="40">
        <f t="shared" si="4"/>
        <v>89898.83</v>
      </c>
      <c r="R171" s="41"/>
      <c r="S171" s="46">
        <v>142</v>
      </c>
      <c r="T171" s="53" t="s">
        <v>164</v>
      </c>
      <c r="U171" s="65">
        <v>28001.26</v>
      </c>
      <c r="V171" s="48">
        <v>25883.45</v>
      </c>
      <c r="W171" s="42">
        <v>28910.04</v>
      </c>
      <c r="X171" s="50"/>
      <c r="Y171" s="50"/>
      <c r="Z171" s="50"/>
      <c r="AA171" s="50"/>
      <c r="AB171" s="51"/>
      <c r="AC171" s="51"/>
      <c r="AD171" s="51"/>
      <c r="AE171" s="51"/>
      <c r="AF171" s="51"/>
      <c r="AG171" s="39">
        <f t="shared" si="5"/>
        <v>82794.75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2" customHeight="1">
      <c r="A172" s="46">
        <v>143</v>
      </c>
      <c r="B172" s="53" t="s">
        <v>165</v>
      </c>
      <c r="C172" s="48">
        <v>47426.4</v>
      </c>
      <c r="D172" s="48">
        <v>47426.4</v>
      </c>
      <c r="E172" s="48">
        <v>47426.4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>
        <f>4712.28+160.84+1044.42+5756.16+5836.85</f>
        <v>17510.55</v>
      </c>
      <c r="P172" s="48">
        <f>793.06+873.75+873.75</f>
        <v>2540.56</v>
      </c>
      <c r="Q172" s="40">
        <f t="shared" si="4"/>
        <v>162330.31</v>
      </c>
      <c r="R172" s="41"/>
      <c r="S172" s="46">
        <v>143</v>
      </c>
      <c r="T172" s="53" t="s">
        <v>165</v>
      </c>
      <c r="U172" s="65">
        <v>39243.63</v>
      </c>
      <c r="V172" s="48">
        <v>33996.91</v>
      </c>
      <c r="W172" s="42">
        <v>49860.87</v>
      </c>
      <c r="X172" s="50"/>
      <c r="Y172" s="50"/>
      <c r="Z172" s="50"/>
      <c r="AA172" s="50"/>
      <c r="AB172" s="51"/>
      <c r="AC172" s="51"/>
      <c r="AD172" s="51"/>
      <c r="AE172" s="51"/>
      <c r="AF172" s="51"/>
      <c r="AG172" s="39">
        <f t="shared" si="5"/>
        <v>123101.41</v>
      </c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2" customHeight="1">
      <c r="A173" s="70">
        <v>144</v>
      </c>
      <c r="B173" s="53" t="s">
        <v>166</v>
      </c>
      <c r="C173" s="48">
        <v>30395.88</v>
      </c>
      <c r="D173" s="48">
        <v>30380.24</v>
      </c>
      <c r="E173" s="48">
        <v>30363.68</v>
      </c>
      <c r="F173" s="48"/>
      <c r="G173" s="48"/>
      <c r="H173" s="48"/>
      <c r="I173" s="48"/>
      <c r="J173" s="48"/>
      <c r="K173" s="48"/>
      <c r="L173" s="48"/>
      <c r="M173" s="48"/>
      <c r="N173" s="48"/>
      <c r="O173" s="48">
        <f>2207.58+93.6+628.75+2929.95+2929.95</f>
        <v>8789.83</v>
      </c>
      <c r="P173" s="48"/>
      <c r="Q173" s="40">
        <f t="shared" si="4"/>
        <v>99929.63</v>
      </c>
      <c r="R173" s="41"/>
      <c r="S173" s="70">
        <v>144</v>
      </c>
      <c r="T173" s="53" t="s">
        <v>166</v>
      </c>
      <c r="U173" s="65">
        <v>37494.34</v>
      </c>
      <c r="V173" s="48">
        <v>44469.61</v>
      </c>
      <c r="W173" s="42">
        <v>41461.92</v>
      </c>
      <c r="X173" s="50"/>
      <c r="Y173" s="50"/>
      <c r="Z173" s="50"/>
      <c r="AA173" s="50"/>
      <c r="AB173" s="51"/>
      <c r="AC173" s="51"/>
      <c r="AD173" s="51"/>
      <c r="AE173" s="51"/>
      <c r="AF173" s="51"/>
      <c r="AG173" s="39">
        <f t="shared" si="5"/>
        <v>123425.87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2" customHeight="1">
      <c r="A174" s="46">
        <v>145</v>
      </c>
      <c r="B174" s="53" t="s">
        <v>167</v>
      </c>
      <c r="C174" s="48">
        <v>1400.21</v>
      </c>
      <c r="D174" s="48">
        <v>1400.21</v>
      </c>
      <c r="E174" s="48">
        <v>1400.21</v>
      </c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0">
        <f t="shared" si="4"/>
        <v>4200.63</v>
      </c>
      <c r="R174" s="41"/>
      <c r="S174" s="46">
        <v>145</v>
      </c>
      <c r="T174" s="53" t="s">
        <v>167</v>
      </c>
      <c r="U174" s="65">
        <v>1040.2</v>
      </c>
      <c r="V174" s="48">
        <v>973.18</v>
      </c>
      <c r="W174" s="42">
        <v>1232.05</v>
      </c>
      <c r="X174" s="50"/>
      <c r="Y174" s="50"/>
      <c r="Z174" s="50"/>
      <c r="AA174" s="50"/>
      <c r="AB174" s="51"/>
      <c r="AC174" s="51"/>
      <c r="AD174" s="51"/>
      <c r="AE174" s="51"/>
      <c r="AF174" s="51"/>
      <c r="AG174" s="39">
        <f t="shared" si="5"/>
        <v>3245.43</v>
      </c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2" customHeight="1">
      <c r="A175" s="70">
        <v>146</v>
      </c>
      <c r="B175" s="53" t="s">
        <v>168</v>
      </c>
      <c r="C175" s="48">
        <v>12985.17</v>
      </c>
      <c r="D175" s="48">
        <v>12985.17</v>
      </c>
      <c r="E175" s="48">
        <v>12985.17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>
        <f>500.96+1.5+172.26+601.44+638.08</f>
        <v>1914.24</v>
      </c>
      <c r="P175" s="48"/>
      <c r="Q175" s="40">
        <f t="shared" si="4"/>
        <v>40869.75</v>
      </c>
      <c r="R175" s="41"/>
      <c r="S175" s="70">
        <v>146</v>
      </c>
      <c r="T175" s="53" t="s">
        <v>168</v>
      </c>
      <c r="U175" s="65">
        <v>11047.28</v>
      </c>
      <c r="V175" s="48">
        <v>15029.18</v>
      </c>
      <c r="W175" s="42">
        <v>11305.39</v>
      </c>
      <c r="X175" s="50"/>
      <c r="Y175" s="50"/>
      <c r="Z175" s="50"/>
      <c r="AA175" s="50"/>
      <c r="AB175" s="51"/>
      <c r="AC175" s="51"/>
      <c r="AD175" s="51"/>
      <c r="AE175" s="51"/>
      <c r="AF175" s="51"/>
      <c r="AG175" s="39">
        <f t="shared" si="5"/>
        <v>37381.85</v>
      </c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2" customHeight="1">
      <c r="A176" s="70">
        <v>147</v>
      </c>
      <c r="B176" s="53" t="s">
        <v>169</v>
      </c>
      <c r="C176" s="48">
        <v>8765.46</v>
      </c>
      <c r="D176" s="48">
        <v>8765.46</v>
      </c>
      <c r="E176" s="48">
        <v>8765.46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>
        <f>559.17+32.1+591.27+591.27</f>
        <v>1773.81</v>
      </c>
      <c r="P176" s="48"/>
      <c r="Q176" s="40">
        <f t="shared" si="4"/>
        <v>28070.19</v>
      </c>
      <c r="R176" s="41"/>
      <c r="S176" s="70">
        <v>147</v>
      </c>
      <c r="T176" s="53" t="s">
        <v>169</v>
      </c>
      <c r="U176" s="65">
        <v>6582.48</v>
      </c>
      <c r="V176" s="48">
        <v>11113.41</v>
      </c>
      <c r="W176" s="42">
        <v>7667.59</v>
      </c>
      <c r="X176" s="50"/>
      <c r="Y176" s="50"/>
      <c r="Z176" s="50"/>
      <c r="AA176" s="50"/>
      <c r="AB176" s="51"/>
      <c r="AC176" s="51"/>
      <c r="AD176" s="51"/>
      <c r="AE176" s="51"/>
      <c r="AF176" s="51"/>
      <c r="AG176" s="39">
        <f t="shared" si="5"/>
        <v>25363.48</v>
      </c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2" customHeight="1">
      <c r="A177" s="46">
        <v>148</v>
      </c>
      <c r="B177" s="53" t="s">
        <v>170</v>
      </c>
      <c r="C177" s="48">
        <v>7436.36</v>
      </c>
      <c r="D177" s="48">
        <v>7436.36</v>
      </c>
      <c r="E177" s="48">
        <v>7436.36</v>
      </c>
      <c r="F177" s="48"/>
      <c r="G177" s="48"/>
      <c r="H177" s="48"/>
      <c r="I177" s="48"/>
      <c r="J177" s="48"/>
      <c r="K177" s="48"/>
      <c r="L177" s="48"/>
      <c r="M177" s="48"/>
      <c r="N177" s="48"/>
      <c r="O177" s="48">
        <f>334.86+14.85+349.71+349.71</f>
        <v>1049.13</v>
      </c>
      <c r="P177" s="48"/>
      <c r="Q177" s="40">
        <f t="shared" si="4"/>
        <v>23358.21</v>
      </c>
      <c r="R177" s="41"/>
      <c r="S177" s="46">
        <v>148</v>
      </c>
      <c r="T177" s="53" t="s">
        <v>170</v>
      </c>
      <c r="U177" s="65">
        <v>6506.57</v>
      </c>
      <c r="V177" s="48">
        <v>5843.78</v>
      </c>
      <c r="W177" s="42">
        <v>6448.92</v>
      </c>
      <c r="X177" s="50"/>
      <c r="Y177" s="50"/>
      <c r="Z177" s="50"/>
      <c r="AA177" s="50"/>
      <c r="AB177" s="51"/>
      <c r="AC177" s="51"/>
      <c r="AD177" s="51"/>
      <c r="AE177" s="51"/>
      <c r="AF177" s="51"/>
      <c r="AG177" s="39">
        <f t="shared" si="5"/>
        <v>18799.27</v>
      </c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2" customHeight="1">
      <c r="A178" s="46">
        <v>149</v>
      </c>
      <c r="B178" s="53" t="s">
        <v>171</v>
      </c>
      <c r="C178" s="48">
        <v>5418.8</v>
      </c>
      <c r="D178" s="48">
        <v>5418.8</v>
      </c>
      <c r="E178" s="48">
        <v>5449.16</v>
      </c>
      <c r="F178" s="48"/>
      <c r="G178" s="48"/>
      <c r="H178" s="48"/>
      <c r="I178" s="48"/>
      <c r="J178" s="48"/>
      <c r="K178" s="48"/>
      <c r="L178" s="48"/>
      <c r="M178" s="48"/>
      <c r="N178" s="48"/>
      <c r="O178" s="48">
        <f>346.63+17.76+364.39+364.39</f>
        <v>1093.17</v>
      </c>
      <c r="P178" s="48"/>
      <c r="Q178" s="40">
        <f t="shared" si="4"/>
        <v>17379.93</v>
      </c>
      <c r="R178" s="41"/>
      <c r="S178" s="46">
        <v>149</v>
      </c>
      <c r="T178" s="53" t="s">
        <v>171</v>
      </c>
      <c r="U178" s="65">
        <v>5655.32</v>
      </c>
      <c r="V178" s="48">
        <v>5282.52</v>
      </c>
      <c r="W178" s="42">
        <v>5283.54</v>
      </c>
      <c r="X178" s="50"/>
      <c r="Y178" s="50"/>
      <c r="Z178" s="50"/>
      <c r="AA178" s="50"/>
      <c r="AB178" s="51"/>
      <c r="AC178" s="51"/>
      <c r="AD178" s="51"/>
      <c r="AE178" s="51"/>
      <c r="AF178" s="51"/>
      <c r="AG178" s="39">
        <f t="shared" si="5"/>
        <v>16221.38</v>
      </c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2" customHeight="1">
      <c r="A179" s="46">
        <v>150</v>
      </c>
      <c r="B179" s="53" t="s">
        <v>172</v>
      </c>
      <c r="C179" s="48">
        <v>11217.56</v>
      </c>
      <c r="D179" s="48">
        <v>11217.56</v>
      </c>
      <c r="E179" s="48">
        <v>11217.56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>
        <f>475.58+24.33+499.91+499.91</f>
        <v>1499.73</v>
      </c>
      <c r="P179" s="48"/>
      <c r="Q179" s="40">
        <f t="shared" si="4"/>
        <v>35152.41</v>
      </c>
      <c r="R179" s="41"/>
      <c r="S179" s="46">
        <v>150</v>
      </c>
      <c r="T179" s="53" t="s">
        <v>172</v>
      </c>
      <c r="U179" s="65">
        <v>10220.31</v>
      </c>
      <c r="V179" s="48">
        <v>11380.11</v>
      </c>
      <c r="W179" s="42">
        <v>10797.35</v>
      </c>
      <c r="X179" s="50"/>
      <c r="Y179" s="50"/>
      <c r="Z179" s="50"/>
      <c r="AA179" s="50"/>
      <c r="AB179" s="51"/>
      <c r="AC179" s="51"/>
      <c r="AD179" s="51"/>
      <c r="AE179" s="51"/>
      <c r="AF179" s="51"/>
      <c r="AG179" s="39">
        <f t="shared" si="5"/>
        <v>32397.77</v>
      </c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2" customHeight="1">
      <c r="A180" s="46">
        <v>151</v>
      </c>
      <c r="B180" s="53" t="s">
        <v>173</v>
      </c>
      <c r="C180" s="48">
        <v>33435.56</v>
      </c>
      <c r="D180" s="48">
        <v>33435.56</v>
      </c>
      <c r="E180" s="48">
        <v>33403.36</v>
      </c>
      <c r="F180" s="48"/>
      <c r="G180" s="48"/>
      <c r="H180" s="48"/>
      <c r="I180" s="48"/>
      <c r="J180" s="48"/>
      <c r="K180" s="48"/>
      <c r="L180" s="48"/>
      <c r="M180" s="48"/>
      <c r="N180" s="48"/>
      <c r="O180" s="48">
        <f>2935.48+150.3+1009.4+4095.18+4095.18</f>
        <v>12285.54</v>
      </c>
      <c r="P180" s="48"/>
      <c r="Q180" s="40">
        <f t="shared" si="4"/>
        <v>112560.02</v>
      </c>
      <c r="R180" s="41"/>
      <c r="S180" s="46">
        <v>151</v>
      </c>
      <c r="T180" s="53" t="s">
        <v>173</v>
      </c>
      <c r="U180" s="65">
        <v>31347.53</v>
      </c>
      <c r="V180" s="48">
        <v>29763.32</v>
      </c>
      <c r="W180" s="42">
        <v>33490.9</v>
      </c>
      <c r="X180" s="50"/>
      <c r="Y180" s="50"/>
      <c r="Z180" s="50"/>
      <c r="AA180" s="50"/>
      <c r="AB180" s="51"/>
      <c r="AC180" s="51"/>
      <c r="AD180" s="51"/>
      <c r="AE180" s="51"/>
      <c r="AF180" s="51"/>
      <c r="AG180" s="39">
        <f t="shared" si="5"/>
        <v>94601.75</v>
      </c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2" customHeight="1">
      <c r="A181" s="46">
        <v>152</v>
      </c>
      <c r="B181" s="53" t="s">
        <v>174</v>
      </c>
      <c r="C181" s="48">
        <v>33219.36</v>
      </c>
      <c r="D181" s="48">
        <v>33219.36</v>
      </c>
      <c r="E181" s="48">
        <v>33219.36</v>
      </c>
      <c r="F181" s="48"/>
      <c r="G181" s="48"/>
      <c r="H181" s="48"/>
      <c r="I181" s="48"/>
      <c r="J181" s="48"/>
      <c r="K181" s="48"/>
      <c r="L181" s="48"/>
      <c r="M181" s="48"/>
      <c r="N181" s="48"/>
      <c r="O181" s="48">
        <f>3139.18+160.74+1058.07+4357.99+4357.99</f>
        <v>13073.97</v>
      </c>
      <c r="P181" s="48"/>
      <c r="Q181" s="40">
        <f t="shared" si="4"/>
        <v>112732.05</v>
      </c>
      <c r="R181" s="41"/>
      <c r="S181" s="46">
        <v>152</v>
      </c>
      <c r="T181" s="53" t="s">
        <v>174</v>
      </c>
      <c r="U181" s="65">
        <v>33337.09</v>
      </c>
      <c r="V181" s="48">
        <v>32931.6</v>
      </c>
      <c r="W181" s="42">
        <v>39181.02</v>
      </c>
      <c r="X181" s="50"/>
      <c r="Y181" s="50"/>
      <c r="Z181" s="50"/>
      <c r="AA181" s="50"/>
      <c r="AB181" s="51"/>
      <c r="AC181" s="51"/>
      <c r="AD181" s="51"/>
      <c r="AE181" s="51"/>
      <c r="AF181" s="51"/>
      <c r="AG181" s="39">
        <f t="shared" si="5"/>
        <v>105449.71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2" customHeight="1">
      <c r="A182" s="46">
        <v>153</v>
      </c>
      <c r="B182" s="53" t="s">
        <v>175</v>
      </c>
      <c r="C182" s="48">
        <v>35320.64</v>
      </c>
      <c r="D182" s="48">
        <v>35320.64</v>
      </c>
      <c r="E182" s="48">
        <v>35320.64</v>
      </c>
      <c r="F182" s="48"/>
      <c r="G182" s="48"/>
      <c r="H182" s="48"/>
      <c r="I182" s="48"/>
      <c r="J182" s="48"/>
      <c r="K182" s="48"/>
      <c r="L182" s="48"/>
      <c r="M182" s="48"/>
      <c r="N182" s="48"/>
      <c r="O182" s="48">
        <f>2241.4+114.74+768.17+3124.31+3124.31</f>
        <v>9372.93</v>
      </c>
      <c r="P182" s="48"/>
      <c r="Q182" s="40">
        <f t="shared" si="4"/>
        <v>115334.85</v>
      </c>
      <c r="R182" s="41"/>
      <c r="S182" s="46">
        <v>153</v>
      </c>
      <c r="T182" s="53" t="s">
        <v>175</v>
      </c>
      <c r="U182" s="65">
        <v>37384.62</v>
      </c>
      <c r="V182" s="48">
        <v>37466.98</v>
      </c>
      <c r="W182" s="42">
        <v>39296.85</v>
      </c>
      <c r="X182" s="50"/>
      <c r="Y182" s="50"/>
      <c r="Z182" s="50"/>
      <c r="AA182" s="50"/>
      <c r="AB182" s="51"/>
      <c r="AC182" s="51"/>
      <c r="AD182" s="51"/>
      <c r="AE182" s="51"/>
      <c r="AF182" s="51"/>
      <c r="AG182" s="39">
        <f t="shared" si="5"/>
        <v>114148.45</v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2" customHeight="1">
      <c r="A183" s="46">
        <v>154</v>
      </c>
      <c r="B183" s="53" t="s">
        <v>176</v>
      </c>
      <c r="C183" s="48">
        <v>11460.44</v>
      </c>
      <c r="D183" s="48">
        <v>11460.44</v>
      </c>
      <c r="E183" s="48">
        <v>11459.52</v>
      </c>
      <c r="F183" s="48"/>
      <c r="G183" s="48"/>
      <c r="H183" s="48"/>
      <c r="I183" s="48"/>
      <c r="J183" s="48"/>
      <c r="K183" s="48"/>
      <c r="L183" s="48"/>
      <c r="M183" s="48"/>
      <c r="N183" s="48"/>
      <c r="O183" s="48">
        <f>637.66+32.66+648.15+648.18</f>
        <v>1966.65</v>
      </c>
      <c r="P183" s="48">
        <f>391.92+391.92+391.92</f>
        <v>1175.76</v>
      </c>
      <c r="Q183" s="40">
        <f t="shared" si="4"/>
        <v>37522.81</v>
      </c>
      <c r="R183" s="41"/>
      <c r="S183" s="46">
        <v>154</v>
      </c>
      <c r="T183" s="53" t="s">
        <v>176</v>
      </c>
      <c r="U183" s="65">
        <v>16941.95</v>
      </c>
      <c r="V183" s="48">
        <v>15931.22</v>
      </c>
      <c r="W183" s="42">
        <v>14070.34</v>
      </c>
      <c r="X183" s="50"/>
      <c r="Y183" s="50"/>
      <c r="Z183" s="50"/>
      <c r="AA183" s="50"/>
      <c r="AB183" s="51"/>
      <c r="AC183" s="51"/>
      <c r="AD183" s="51"/>
      <c r="AE183" s="51"/>
      <c r="AF183" s="51"/>
      <c r="AG183" s="39">
        <f t="shared" si="5"/>
        <v>46943.51</v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2" customHeight="1">
      <c r="A184" s="46">
        <v>155</v>
      </c>
      <c r="B184" s="53" t="s">
        <v>177</v>
      </c>
      <c r="C184" s="48">
        <v>15738.44</v>
      </c>
      <c r="D184" s="48">
        <v>15738.44</v>
      </c>
      <c r="E184" s="48">
        <v>15738.44</v>
      </c>
      <c r="F184" s="48"/>
      <c r="G184" s="48"/>
      <c r="H184" s="48"/>
      <c r="I184" s="48"/>
      <c r="J184" s="48"/>
      <c r="K184" s="48"/>
      <c r="L184" s="48"/>
      <c r="M184" s="48"/>
      <c r="N184" s="48"/>
      <c r="O184" s="48">
        <f>1085.65+41.58+254.55+1381.78+1381.78</f>
        <v>4145.34</v>
      </c>
      <c r="P184" s="48"/>
      <c r="Q184" s="40">
        <f t="shared" si="4"/>
        <v>51360.66</v>
      </c>
      <c r="R184" s="41"/>
      <c r="S184" s="46">
        <v>155</v>
      </c>
      <c r="T184" s="53" t="s">
        <v>177</v>
      </c>
      <c r="U184" s="65">
        <v>19376.93</v>
      </c>
      <c r="V184" s="48">
        <v>18968.8</v>
      </c>
      <c r="W184" s="42">
        <v>18875.42</v>
      </c>
      <c r="X184" s="50"/>
      <c r="Y184" s="50"/>
      <c r="Z184" s="50"/>
      <c r="AA184" s="50"/>
      <c r="AB184" s="51"/>
      <c r="AC184" s="51"/>
      <c r="AD184" s="51"/>
      <c r="AE184" s="51"/>
      <c r="AF184" s="51"/>
      <c r="AG184" s="39">
        <f t="shared" si="5"/>
        <v>57221.15</v>
      </c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2" customHeight="1">
      <c r="A185" s="70">
        <v>156</v>
      </c>
      <c r="B185" s="53" t="s">
        <v>178</v>
      </c>
      <c r="C185" s="48">
        <v>11695.96</v>
      </c>
      <c r="D185" s="48">
        <v>11695.96</v>
      </c>
      <c r="E185" s="48">
        <v>11695.96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>
        <f>621.54+31.29+652.83+652.83</f>
        <v>1958.49</v>
      </c>
      <c r="P185" s="48"/>
      <c r="Q185" s="40">
        <f t="shared" si="4"/>
        <v>37046.37</v>
      </c>
      <c r="R185" s="41"/>
      <c r="S185" s="70">
        <v>156</v>
      </c>
      <c r="T185" s="53" t="s">
        <v>178</v>
      </c>
      <c r="U185" s="65">
        <v>12934.69</v>
      </c>
      <c r="V185" s="48">
        <v>11942.03</v>
      </c>
      <c r="W185" s="42">
        <v>9585.21</v>
      </c>
      <c r="X185" s="50"/>
      <c r="Y185" s="50"/>
      <c r="Z185" s="50"/>
      <c r="AA185" s="50"/>
      <c r="AB185" s="51"/>
      <c r="AC185" s="51"/>
      <c r="AD185" s="51"/>
      <c r="AE185" s="51"/>
      <c r="AF185" s="51"/>
      <c r="AG185" s="39">
        <f t="shared" si="5"/>
        <v>34461.93</v>
      </c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2" customHeight="1">
      <c r="A186" s="46">
        <v>157</v>
      </c>
      <c r="B186" s="53" t="s">
        <v>179</v>
      </c>
      <c r="C186" s="48">
        <v>23749.8</v>
      </c>
      <c r="D186" s="48">
        <v>23749.8</v>
      </c>
      <c r="E186" s="48">
        <v>23757.15</v>
      </c>
      <c r="F186" s="48"/>
      <c r="G186" s="48"/>
      <c r="H186" s="48"/>
      <c r="I186" s="48"/>
      <c r="J186" s="48"/>
      <c r="K186" s="48"/>
      <c r="L186" s="48"/>
      <c r="M186" s="48"/>
      <c r="N186" s="48"/>
      <c r="O186" s="48">
        <f>1965.29+100.68+2065.97+2065.97</f>
        <v>6197.91</v>
      </c>
      <c r="P186" s="48"/>
      <c r="Q186" s="40">
        <f t="shared" si="4"/>
        <v>77454.66</v>
      </c>
      <c r="R186" s="41"/>
      <c r="S186" s="46">
        <v>157</v>
      </c>
      <c r="T186" s="53" t="s">
        <v>179</v>
      </c>
      <c r="U186" s="65">
        <v>21985.55</v>
      </c>
      <c r="V186" s="48">
        <v>21615.9</v>
      </c>
      <c r="W186" s="42">
        <v>22047.57</v>
      </c>
      <c r="X186" s="50"/>
      <c r="Y186" s="50"/>
      <c r="Z186" s="50"/>
      <c r="AA186" s="50"/>
      <c r="AB186" s="51"/>
      <c r="AC186" s="51"/>
      <c r="AD186" s="51"/>
      <c r="AE186" s="51"/>
      <c r="AF186" s="51"/>
      <c r="AG186" s="39">
        <f t="shared" si="5"/>
        <v>65649.02</v>
      </c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2" customHeight="1">
      <c r="A187" s="70">
        <v>158</v>
      </c>
      <c r="B187" s="53" t="s">
        <v>180</v>
      </c>
      <c r="C187" s="48">
        <v>5246.76</v>
      </c>
      <c r="D187" s="48">
        <v>5246.76</v>
      </c>
      <c r="E187" s="48">
        <v>5246.76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>
        <f>510.12+26.13+148.18+684.43+684.43</f>
        <v>2053.29</v>
      </c>
      <c r="P187" s="48"/>
      <c r="Q187" s="40">
        <f t="shared" si="4"/>
        <v>17793.57</v>
      </c>
      <c r="R187" s="41"/>
      <c r="S187" s="70">
        <v>158</v>
      </c>
      <c r="T187" s="53" t="s">
        <v>180</v>
      </c>
      <c r="U187" s="65">
        <v>5345.64</v>
      </c>
      <c r="V187" s="48">
        <v>4902.76</v>
      </c>
      <c r="W187" s="42">
        <v>6057.19</v>
      </c>
      <c r="X187" s="50"/>
      <c r="Y187" s="50"/>
      <c r="Z187" s="50"/>
      <c r="AA187" s="50"/>
      <c r="AB187" s="51"/>
      <c r="AC187" s="51"/>
      <c r="AD187" s="51"/>
      <c r="AE187" s="51"/>
      <c r="AF187" s="51"/>
      <c r="AG187" s="39">
        <f t="shared" si="5"/>
        <v>16305.59</v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2" customHeight="1">
      <c r="A188" s="70">
        <v>159</v>
      </c>
      <c r="B188" s="71" t="s">
        <v>181</v>
      </c>
      <c r="C188" s="66">
        <v>3042.37</v>
      </c>
      <c r="D188" s="66">
        <v>3042.37</v>
      </c>
      <c r="E188" s="66">
        <v>3042.37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7">
        <f>355+18.17+0.22+373.28+1.71+373.28</f>
        <v>1121.66</v>
      </c>
      <c r="P188" s="67"/>
      <c r="Q188" s="40">
        <f t="shared" si="4"/>
        <v>10248.77</v>
      </c>
      <c r="R188" s="41"/>
      <c r="S188" s="70">
        <v>159</v>
      </c>
      <c r="T188" s="71" t="s">
        <v>181</v>
      </c>
      <c r="U188" s="65">
        <v>3344.03</v>
      </c>
      <c r="V188" s="66">
        <v>2840.75</v>
      </c>
      <c r="W188" s="42">
        <v>4078.97</v>
      </c>
      <c r="X188" s="50"/>
      <c r="Y188" s="50"/>
      <c r="Z188" s="50"/>
      <c r="AA188" s="50"/>
      <c r="AB188" s="51"/>
      <c r="AC188" s="51"/>
      <c r="AD188" s="51"/>
      <c r="AE188" s="51"/>
      <c r="AF188" s="51"/>
      <c r="AG188" s="39">
        <f t="shared" si="5"/>
        <v>10263.75</v>
      </c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3.5" customHeight="1">
      <c r="A189" s="72"/>
      <c r="B189" s="73" t="s">
        <v>182</v>
      </c>
      <c r="C189" s="74">
        <f aca="true" t="shared" si="6" ref="C189:Q189">SUM(C13:C77,C86:C158,C167:C188)</f>
        <v>2269766.44</v>
      </c>
      <c r="D189" s="75">
        <f t="shared" si="6"/>
        <v>2269696.87</v>
      </c>
      <c r="E189" s="75">
        <f t="shared" si="6"/>
        <v>2269691.72</v>
      </c>
      <c r="F189" s="75">
        <f t="shared" si="6"/>
        <v>0</v>
      </c>
      <c r="G189" s="75">
        <f t="shared" si="6"/>
        <v>0</v>
      </c>
      <c r="H189" s="75">
        <f t="shared" si="6"/>
        <v>0</v>
      </c>
      <c r="I189" s="75">
        <f t="shared" si="6"/>
        <v>0</v>
      </c>
      <c r="J189" s="75">
        <f t="shared" si="6"/>
        <v>0</v>
      </c>
      <c r="K189" s="75">
        <f t="shared" si="6"/>
        <v>0</v>
      </c>
      <c r="L189" s="75">
        <f t="shared" si="6"/>
        <v>0</v>
      </c>
      <c r="M189" s="75">
        <f t="shared" si="6"/>
        <v>0</v>
      </c>
      <c r="N189" s="75">
        <f t="shared" si="6"/>
        <v>0</v>
      </c>
      <c r="O189" s="75">
        <f t="shared" si="6"/>
        <v>593523.05</v>
      </c>
      <c r="P189" s="76">
        <f t="shared" si="6"/>
        <v>348046.87</v>
      </c>
      <c r="Q189" s="77">
        <f t="shared" si="6"/>
        <v>7750724.95</v>
      </c>
      <c r="R189" s="78"/>
      <c r="S189" s="72"/>
      <c r="T189" s="73" t="s">
        <v>182</v>
      </c>
      <c r="U189" s="75">
        <f aca="true" t="shared" si="7" ref="U189:AG189">SUM(U13:U77,U86:U158,U167:U188)</f>
        <v>2421823.02</v>
      </c>
      <c r="V189" s="75">
        <f t="shared" si="7"/>
        <v>2267962.94</v>
      </c>
      <c r="W189" s="75">
        <f t="shared" si="7"/>
        <v>2447225.2</v>
      </c>
      <c r="X189" s="75">
        <f t="shared" si="7"/>
        <v>0</v>
      </c>
      <c r="Y189" s="75">
        <f t="shared" si="7"/>
        <v>0</v>
      </c>
      <c r="Z189" s="75">
        <f t="shared" si="7"/>
        <v>0</v>
      </c>
      <c r="AA189" s="75">
        <f t="shared" si="7"/>
        <v>0</v>
      </c>
      <c r="AB189" s="75">
        <f t="shared" si="7"/>
        <v>0</v>
      </c>
      <c r="AC189" s="75">
        <f t="shared" si="7"/>
        <v>0</v>
      </c>
      <c r="AD189" s="75">
        <f t="shared" si="7"/>
        <v>0</v>
      </c>
      <c r="AE189" s="75">
        <f t="shared" si="7"/>
        <v>0</v>
      </c>
      <c r="AF189" s="75">
        <f t="shared" si="7"/>
        <v>0</v>
      </c>
      <c r="AG189" s="77">
        <f t="shared" si="7"/>
        <v>7137011.16</v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5.75" customHeight="1">
      <c r="A190" s="79"/>
      <c r="B190" s="7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>
        <v>0</v>
      </c>
      <c r="Q190" s="2"/>
      <c r="R190" s="2"/>
      <c r="S190" s="79"/>
      <c r="T190" s="79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2.75" customHeight="1">
      <c r="A191" s="80"/>
      <c r="B191" s="8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82"/>
      <c r="Q191" s="2"/>
      <c r="R191" s="2"/>
      <c r="S191" s="80"/>
      <c r="T191" s="8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2.75" customHeight="1" hidden="1">
      <c r="A192" s="2"/>
      <c r="B192" s="8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8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2.75" customHeight="1" hidden="1">
      <c r="A193" s="24"/>
      <c r="B193" s="8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4"/>
      <c r="T193" s="84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2.75" customHeight="1" hidden="1">
      <c r="A194" s="24"/>
      <c r="B194" s="8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4"/>
      <c r="T194" s="84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2.75" customHeight="1" hidden="1">
      <c r="A195" s="24"/>
      <c r="B195" s="8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4"/>
      <c r="T195" s="8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2.75" customHeight="1" hidden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2.75" customHeight="1" hidden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2.75" customHeight="1" hidden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2.75" customHeight="1">
      <c r="A199" s="2"/>
      <c r="B199" s="85" t="s">
        <v>183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85" t="s">
        <v>183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</sheetData>
  <mergeCells count="106">
    <mergeCell ref="W6:W11"/>
    <mergeCell ref="X6:X11"/>
    <mergeCell ref="Y6:Y11"/>
    <mergeCell ref="Z6:Z11"/>
    <mergeCell ref="AA6:AA11"/>
    <mergeCell ref="AB6:AB11"/>
    <mergeCell ref="V2:AF2"/>
    <mergeCell ref="U5:AF5"/>
    <mergeCell ref="T78:T84"/>
    <mergeCell ref="U79:U84"/>
    <mergeCell ref="V79:V84"/>
    <mergeCell ref="W79:W84"/>
    <mergeCell ref="AD6:AD11"/>
    <mergeCell ref="AE6:AE11"/>
    <mergeCell ref="Z79:Z84"/>
    <mergeCell ref="Y79:Y84"/>
    <mergeCell ref="U78:AF78"/>
    <mergeCell ref="X79:X84"/>
    <mergeCell ref="AA79:AA84"/>
    <mergeCell ref="T159:T165"/>
    <mergeCell ref="S159:S165"/>
    <mergeCell ref="Z160:Z165"/>
    <mergeCell ref="AA160:AA165"/>
    <mergeCell ref="V160:V165"/>
    <mergeCell ref="U160:U165"/>
    <mergeCell ref="AB160:AB165"/>
    <mergeCell ref="AC160:AC165"/>
    <mergeCell ref="W160:W165"/>
    <mergeCell ref="P159:P165"/>
    <mergeCell ref="Q159:Q165"/>
    <mergeCell ref="O159:O165"/>
    <mergeCell ref="Y160:Y165"/>
    <mergeCell ref="X160:X165"/>
    <mergeCell ref="K79:K84"/>
    <mergeCell ref="I79:I84"/>
    <mergeCell ref="J79:J84"/>
    <mergeCell ref="D79:D84"/>
    <mergeCell ref="G79:G84"/>
    <mergeCell ref="M79:M84"/>
    <mergeCell ref="L79:L84"/>
    <mergeCell ref="P78:P84"/>
    <mergeCell ref="O78:O84"/>
    <mergeCell ref="A78:A84"/>
    <mergeCell ref="B78:B84"/>
    <mergeCell ref="C79:C84"/>
    <mergeCell ref="C78:N78"/>
    <mergeCell ref="H79:H84"/>
    <mergeCell ref="N79:N84"/>
    <mergeCell ref="C6:C11"/>
    <mergeCell ref="D6:D11"/>
    <mergeCell ref="E6:E11"/>
    <mergeCell ref="F6:F11"/>
    <mergeCell ref="G6:G11"/>
    <mergeCell ref="H6:H11"/>
    <mergeCell ref="I6:I11"/>
    <mergeCell ref="J6:J11"/>
    <mergeCell ref="E2:N2"/>
    <mergeCell ref="A3:C3"/>
    <mergeCell ref="A5:A11"/>
    <mergeCell ref="C5:N5"/>
    <mergeCell ref="B5:B11"/>
    <mergeCell ref="L6:L11"/>
    <mergeCell ref="M6:M11"/>
    <mergeCell ref="K6:K11"/>
    <mergeCell ref="O5:O11"/>
    <mergeCell ref="P5:P11"/>
    <mergeCell ref="Q5:Q11"/>
    <mergeCell ref="S5:S11"/>
    <mergeCell ref="T3:V3"/>
    <mergeCell ref="U6:U11"/>
    <mergeCell ref="T5:T11"/>
    <mergeCell ref="V6:V11"/>
    <mergeCell ref="N6:N11"/>
    <mergeCell ref="AB79:AB84"/>
    <mergeCell ref="AE79:AE84"/>
    <mergeCell ref="AC79:AC84"/>
    <mergeCell ref="AD79:AD84"/>
    <mergeCell ref="Q78:Q84"/>
    <mergeCell ref="S78:S84"/>
    <mergeCell ref="AG78:AG84"/>
    <mergeCell ref="AF79:AF84"/>
    <mergeCell ref="U159:AF159"/>
    <mergeCell ref="AC6:AC11"/>
    <mergeCell ref="AG5:AG11"/>
    <mergeCell ref="AF6:AF11"/>
    <mergeCell ref="AD160:AD165"/>
    <mergeCell ref="AG159:AG165"/>
    <mergeCell ref="AF160:AF165"/>
    <mergeCell ref="AE160:AE165"/>
    <mergeCell ref="E79:E84"/>
    <mergeCell ref="F79:F84"/>
    <mergeCell ref="L160:L165"/>
    <mergeCell ref="M160:M165"/>
    <mergeCell ref="I160:I165"/>
    <mergeCell ref="G160:G165"/>
    <mergeCell ref="H160:H165"/>
    <mergeCell ref="F160:F165"/>
    <mergeCell ref="D160:D165"/>
    <mergeCell ref="E160:E165"/>
    <mergeCell ref="A159:A165"/>
    <mergeCell ref="B159:B165"/>
    <mergeCell ref="C159:N159"/>
    <mergeCell ref="J160:J165"/>
    <mergeCell ref="K160:K165"/>
    <mergeCell ref="N160:N165"/>
    <mergeCell ref="C160:C1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