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<sst xmlns="http://schemas.openxmlformats.org/spreadsheetml/2006/main" count="77" uniqueCount="77">
  <si>
    <t>СПРАВКА</t>
  </si>
  <si>
    <t xml:space="preserve">Начислено  </t>
  </si>
  <si>
    <t>Оплачено</t>
  </si>
  <si>
    <t>Расходы</t>
  </si>
  <si>
    <t>Услуги РИРЦ</t>
  </si>
  <si>
    <t>Вывоз ТБО</t>
  </si>
  <si>
    <t>Тех.обслуж.газового обор.</t>
  </si>
  <si>
    <t>Дератизация, дезинфекция</t>
  </si>
  <si>
    <t>Наименование</t>
  </si>
  <si>
    <t>ООО "Наш дом"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</si>
  <si>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</si>
  <si>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</si>
  <si>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</si>
  <si>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</si>
  <si>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</si>
  <si>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</si>
  <si>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</si>
  <si>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</si>
  <si>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</si>
  <si>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</si>
  <si>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</si>
  <si>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</si>
  <si>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</si>
  <si>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</si>
  <si>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</si>
  <si>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</si>
  <si>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№</t>
  </si>
  <si>
    <t>1</t>
  </si>
  <si>
    <t>2</t>
  </si>
  <si>
    <t>3</t>
  </si>
  <si>
    <t>4</t>
  </si>
  <si>
    <t>4.1</t>
  </si>
  <si>
    <t>4.2</t>
  </si>
  <si>
    <t>4.3</t>
  </si>
  <si>
    <t>4.4</t>
  </si>
  <si>
    <t>4.6</t>
  </si>
  <si>
    <t>4.7</t>
  </si>
  <si>
    <t>4.8</t>
  </si>
  <si>
    <t>4.9</t>
  </si>
  <si>
    <t>4.10</t>
  </si>
  <si>
    <t>4.11</t>
  </si>
  <si>
    <t>5</t>
  </si>
  <si>
    <t>6</t>
  </si>
  <si>
    <t>7</t>
  </si>
  <si>
    <t>за 2010 г</t>
  </si>
  <si>
    <t>по жилому дому г. Унеча ул. Транспортная  д.2</t>
  </si>
  <si>
    <t>Благоустройство территории</t>
  </si>
  <si>
    <t>Итого за 2011 г</t>
  </si>
  <si>
    <t>Результат за месяц</t>
  </si>
  <si>
    <t>Дом по ул.Транспортная  д.2 вступил в ООО "Наш дом" с апреля 2010 года          тариф 9,2 руб</t>
  </si>
  <si>
    <t>Итого за 2012 г</t>
  </si>
  <si>
    <t xml:space="preserve">Материалы </t>
  </si>
  <si>
    <t>4.12</t>
  </si>
  <si>
    <t>4.14</t>
  </si>
  <si>
    <t>4.15</t>
  </si>
  <si>
    <t xml:space="preserve">%  оплаты </t>
  </si>
  <si>
    <t>Итого за 2013 г</t>
  </si>
  <si>
    <t>Итого за 2014 г</t>
  </si>
  <si>
    <t>Рентабельность 5%</t>
  </si>
  <si>
    <t xml:space="preserve"> </t>
  </si>
  <si>
    <t>Итого за 2015 г</t>
  </si>
  <si>
    <t>Услуги сторонних орган.</t>
  </si>
  <si>
    <t>Проверка вент.каналов</t>
  </si>
  <si>
    <t>4.5</t>
  </si>
  <si>
    <t>Исполнитель  вед. экономист /Викторова Л.С./</t>
  </si>
  <si>
    <t xml:space="preserve">агентские услуги,охрана труда,отопление, хол.вода, эл.энегрия   </t>
  </si>
  <si>
    <t>ГСМ,зап.части,аморт., аренда и страхование автомашин</t>
  </si>
  <si>
    <t xml:space="preserve">Расходы на управление,аренда, связь </t>
  </si>
  <si>
    <t>Итого за 2016 г</t>
  </si>
  <si>
    <t>Итого за 2017 г</t>
  </si>
  <si>
    <t>Всего за 2010-2017</t>
  </si>
  <si>
    <t>Начислено  СОИД</t>
  </si>
  <si>
    <t>Электроэнергия СОИД</t>
  </si>
  <si>
    <t>Горячая вода СОИД</t>
  </si>
  <si>
    <t>Холодная вода СОИД</t>
  </si>
  <si>
    <t>Канализация СОИД</t>
  </si>
  <si>
    <t>произ-во измерений электрич.параметров обор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</si>
</sst>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i/>
      <sz val="8"/>
      <name val="Arial Cyr"/>
      <family val="0"/>
    </font>
    <font>
      <sz val="9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5" xfId="0" applyFont="1" applyBorder="1" applyAlignment="1">
      <alignment/>
    </xf>
    <xf numFmtId="1" fontId="21" fillId="0" borderId="14" xfId="0" applyNumberFormat="1" applyFont="1" applyBorder="1" applyAlignment="1">
      <alignment horizontal="center"/>
    </xf>
    <xf numFmtId="0" fontId="21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8" xfId="0" applyFont="1" applyFill="1" applyBorder="1" applyAlignment="1">
      <alignment/>
    </xf>
    <xf numFmtId="0" fontId="20" fillId="2" borderId="26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7" xfId="0" applyFont="1" applyBorder="1" applyAlignment="1">
      <alignment horizontal="left" vertical="center" wrapText="1"/>
    </xf>
    <xf numFmtId="0" fontId="24" fillId="0" borderId="28" xfId="0" applyFont="1" applyBorder="1" applyAlignment="1">
      <alignment wrapText="1"/>
    </xf>
    <xf numFmtId="0" fontId="24" fillId="0" borderId="29" xfId="0" applyFont="1" applyBorder="1" applyAlignment="1">
      <alignment wrapText="1"/>
    </xf>
    <xf numFmtId="0" fontId="21" fillId="0" borderId="29" xfId="0" applyFont="1" applyBorder="1" applyAlignment="1">
      <alignment horizontal="left" wrapText="1"/>
    </xf>
    <xf numFmtId="0" fontId="24" fillId="0" borderId="27" xfId="0" applyFont="1" applyBorder="1" applyAlignment="1">
      <alignment wrapText="1"/>
    </xf>
    <xf numFmtId="49" fontId="21" fillId="0" borderId="28" xfId="0" applyNumberFormat="1" applyFont="1" applyBorder="1" applyAlignment="1">
      <alignment wrapText="1"/>
    </xf>
    <xf numFmtId="0" fontId="21" fillId="0" borderId="29" xfId="0" applyFont="1" applyBorder="1" applyAlignment="1">
      <alignment wrapText="1"/>
    </xf>
    <xf numFmtId="0" fontId="21" fillId="0" borderId="30" xfId="0" applyFont="1" applyBorder="1" applyAlignment="1">
      <alignment wrapText="1"/>
    </xf>
    <xf numFmtId="0" fontId="21" fillId="0" borderId="31" xfId="0" applyFont="1" applyBorder="1" applyAlignment="1">
      <alignment wrapText="1"/>
    </xf>
    <xf numFmtId="0" fontId="21" fillId="2" borderId="31" xfId="0" applyFont="1" applyFill="1" applyBorder="1" applyAlignment="1">
      <alignment wrapText="1"/>
    </xf>
    <xf numFmtId="49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0" fontId="23" fillId="0" borderId="35" xfId="0" applyFont="1" applyBorder="1" applyAlignment="1">
      <alignment horizontal="left" vertical="center" wrapText="1"/>
    </xf>
    <xf numFmtId="0" fontId="21" fillId="0" borderId="35" xfId="0" applyFont="1" applyBorder="1" applyAlignment="1">
      <alignment wrapText="1"/>
    </xf>
    <xf numFmtId="0" fontId="21" fillId="0" borderId="36" xfId="0" applyFont="1" applyBorder="1" applyAlignment="1">
      <alignment wrapText="1"/>
    </xf>
    <xf numFmtId="0" fontId="21" fillId="2" borderId="36" xfId="0" applyFont="1" applyFill="1" applyBorder="1" applyAlignment="1">
      <alignment wrapText="1"/>
    </xf>
    <xf numFmtId="2" fontId="21" fillId="0" borderId="37" xfId="0" applyNumberFormat="1" applyFont="1" applyBorder="1" applyAlignment="1">
      <alignment horizontal="right" wrapText="1"/>
    </xf>
    <xf numFmtId="2" fontId="21" fillId="0" borderId="33" xfId="0" applyNumberFormat="1" applyFont="1" applyBorder="1" applyAlignment="1">
      <alignment horizontal="right" wrapText="1"/>
    </xf>
    <xf numFmtId="2" fontId="21" fillId="0" borderId="34" xfId="0" applyNumberFormat="1" applyFont="1" applyBorder="1" applyAlignment="1">
      <alignment horizontal="right" wrapText="1"/>
    </xf>
    <xf numFmtId="0" fontId="21" fillId="0" borderId="27" xfId="0" applyFont="1" applyBorder="1" applyAlignment="1">
      <alignment wrapText="1"/>
    </xf>
    <xf numFmtId="49" fontId="0" fillId="0" borderId="36" xfId="0" applyNumberFormat="1" applyBorder="1" applyAlignment="1">
      <alignment horizontal="center"/>
    </xf>
    <xf numFmtId="1" fontId="21" fillId="0" borderId="38" xfId="0" applyNumberFormat="1" applyFont="1" applyBorder="1" applyAlignment="1">
      <alignment horizontal="center"/>
    </xf>
    <xf numFmtId="0" fontId="23" fillId="0" borderId="27" xfId="0" applyFont="1" applyBorder="1" applyAlignment="1">
      <alignment horizontal="center" vertical="center" wrapText="1"/>
    </xf>
    <xf numFmtId="0" fontId="0" fillId="0" borderId="39" xfId="0" applyBorder="1" applyAlignment="1">
      <alignment/>
    </xf>
    <xf numFmtId="0" fontId="0" fillId="0" borderId="27" xfId="0" applyBorder="1" applyAlignment="1">
      <alignment/>
    </xf>
    <xf numFmtId="0" fontId="0" fillId="2" borderId="27" xfId="0" applyFill="1" applyBorder="1" applyAlignment="1">
      <alignment/>
    </xf>
    <xf numFmtId="0" fontId="19" fillId="0" borderId="35" xfId="0" applyFont="1" applyBorder="1" applyAlignment="1">
      <alignment horizontal="center" vertical="center" wrapText="1"/>
    </xf>
    <xf numFmtId="0" fontId="21" fillId="0" borderId="37" xfId="0" applyFont="1" applyBorder="1" applyAlignment="1">
      <alignment/>
    </xf>
    <xf numFmtId="1" fontId="21" fillId="0" borderId="33" xfId="0" applyNumberFormat="1" applyFont="1" applyBorder="1" applyAlignment="1">
      <alignment horizontal="center"/>
    </xf>
    <xf numFmtId="0" fontId="21" fillId="0" borderId="35" xfId="0" applyFont="1" applyBorder="1" applyAlignment="1">
      <alignment/>
    </xf>
    <xf numFmtId="0" fontId="21" fillId="0" borderId="36" xfId="0" applyFont="1" applyBorder="1" applyAlignment="1">
      <alignment/>
    </xf>
    <xf numFmtId="0" fontId="20" fillId="2" borderId="36" xfId="0" applyFont="1" applyFill="1" applyBorder="1" applyAlignment="1">
      <alignment/>
    </xf>
    <xf numFmtId="0" fontId="21" fillId="0" borderId="39" xfId="0" applyFont="1" applyBorder="1" applyAlignment="1">
      <alignment wrapText="1"/>
    </xf>
    <xf numFmtId="2" fontId="21" fillId="0" borderId="40" xfId="0" applyNumberFormat="1" applyFont="1" applyBorder="1" applyAlignment="1">
      <alignment horizontal="right" wrapText="1"/>
    </xf>
    <xf numFmtId="0" fontId="25" fillId="0" borderId="32" xfId="0" applyFont="1" applyBorder="1" applyAlignment="1">
      <alignment wrapText="1"/>
    </xf>
    <xf numFmtId="0" fontId="25" fillId="0" borderId="37" xfId="0" applyFont="1" applyBorder="1" applyAlignment="1">
      <alignment wrapText="1"/>
    </xf>
    <xf numFmtId="0" fontId="25" fillId="0" borderId="33" xfId="0" applyFont="1" applyBorder="1" applyAlignment="1">
      <alignment wrapText="1"/>
    </xf>
    <xf numFmtId="0" fontId="21" fillId="2" borderId="36" xfId="0" applyFont="1" applyFill="1" applyBorder="1" applyAlignment="1">
      <alignment/>
    </xf>
    <xf numFmtId="1" fontId="21" fillId="0" borderId="41" xfId="0" applyNumberFormat="1" applyFont="1" applyBorder="1" applyAlignment="1">
      <alignment horizontal="center"/>
    </xf>
    <xf numFmtId="0" fontId="0" fillId="0" borderId="27" xfId="0" applyFont="1" applyBorder="1" applyAlignment="1">
      <alignment/>
    </xf>
    <xf numFmtId="0" fontId="21" fillId="0" borderId="26" xfId="0" applyFont="1" applyBorder="1" applyAlignment="1">
      <alignment wrapText="1"/>
    </xf>
    <xf numFmtId="0" fontId="21" fillId="2" borderId="26" xfId="0" applyFont="1" applyFill="1" applyBorder="1" applyAlignment="1">
      <alignment wrapText="1"/>
    </xf>
    <xf numFmtId="0" fontId="19" fillId="0" borderId="42" xfId="0" applyFont="1" applyBorder="1" applyAlignment="1">
      <alignment horizontal="center" vertical="center" wrapText="1"/>
    </xf>
    <xf numFmtId="0" fontId="25" fillId="0" borderId="43" xfId="0" applyFont="1" applyBorder="1" applyAlignment="1">
      <alignment wrapText="1"/>
    </xf>
    <xf numFmtId="0" fontId="25" fillId="0" borderId="44" xfId="0" applyFont="1" applyBorder="1" applyAlignment="1">
      <alignment wrapText="1"/>
    </xf>
    <xf numFmtId="2" fontId="21" fillId="0" borderId="43" xfId="0" applyNumberFormat="1" applyFont="1" applyBorder="1" applyAlignment="1">
      <alignment horizontal="right" wrapText="1"/>
    </xf>
    <xf numFmtId="2" fontId="21" fillId="0" borderId="44" xfId="0" applyNumberFormat="1" applyFont="1" applyBorder="1" applyAlignment="1">
      <alignment horizontal="right" wrapText="1"/>
    </xf>
    <xf numFmtId="2" fontId="21" fillId="0" borderId="45" xfId="0" applyNumberFormat="1" applyFont="1" applyBorder="1" applyAlignment="1">
      <alignment horizontal="right" wrapText="1"/>
    </xf>
    <xf numFmtId="2" fontId="21" fillId="0" borderId="46" xfId="0" applyNumberFormat="1" applyFont="1" applyBorder="1" applyAlignment="1">
      <alignment horizontal="right" wrapText="1"/>
    </xf>
    <xf numFmtId="0" fontId="26" fillId="0" borderId="32" xfId="0" applyFont="1" applyBorder="1" applyAlignment="1">
      <alignment/>
    </xf>
    <xf numFmtId="0" fontId="26" fillId="0" borderId="37" xfId="0" applyFont="1" applyBorder="1" applyAlignment="1">
      <alignment/>
    </xf>
    <xf numFmtId="1" fontId="26" fillId="0" borderId="41" xfId="0" applyNumberFormat="1" applyFont="1" applyBorder="1" applyAlignment="1">
      <alignment horizontal="center"/>
    </xf>
    <xf numFmtId="2" fontId="21" fillId="0" borderId="35" xfId="0" applyNumberFormat="1" applyFont="1" applyBorder="1" applyAlignment="1">
      <alignment horizontal="right" wrapText="1"/>
    </xf>
    <xf numFmtId="2" fontId="21" fillId="0" borderId="47" xfId="0" applyNumberFormat="1" applyFont="1" applyBorder="1" applyAlignment="1">
      <alignment/>
    </xf>
    <xf numFmtId="2" fontId="21" fillId="0" borderId="48" xfId="0" applyNumberFormat="1" applyFont="1" applyBorder="1" applyAlignment="1">
      <alignment/>
    </xf>
    <xf numFmtId="2" fontId="21" fillId="0" borderId="35" xfId="0" applyNumberFormat="1" applyFont="1" applyBorder="1" applyAlignment="1">
      <alignment/>
    </xf>
    <xf numFmtId="2" fontId="20" fillId="0" borderId="35" xfId="0" applyNumberFormat="1" applyFont="1" applyBorder="1" applyAlignment="1">
      <alignment/>
    </xf>
    <xf numFmtId="2" fontId="21" fillId="0" borderId="49" xfId="0" applyNumberFormat="1" applyFont="1" applyBorder="1" applyAlignment="1">
      <alignment/>
    </xf>
    <xf numFmtId="0" fontId="21" fillId="0" borderId="49" xfId="0" applyFont="1" applyBorder="1" applyAlignment="1">
      <alignment/>
    </xf>
    <xf numFmtId="49" fontId="0" fillId="0" borderId="41" xfId="0" applyNumberFormat="1" applyBorder="1" applyAlignment="1">
      <alignment horizontal="center"/>
    </xf>
    <xf numFmtId="2" fontId="21" fillId="0" borderId="50" xfId="0" applyNumberFormat="1" applyFont="1" applyBorder="1" applyAlignment="1">
      <alignment/>
    </xf>
    <xf numFmtId="49" fontId="0" fillId="0" borderId="37" xfId="0" applyNumberFormat="1" applyBorder="1" applyAlignment="1">
      <alignment horizontal="center"/>
    </xf>
    <xf numFmtId="0" fontId="21" fillId="0" borderId="26" xfId="0" applyFont="1" applyBorder="1" applyAlignment="1">
      <alignment/>
    </xf>
    <xf numFmtId="2" fontId="21" fillId="0" borderId="31" xfId="0" applyNumberFormat="1" applyFont="1" applyBorder="1" applyAlignment="1">
      <alignment/>
    </xf>
    <xf numFmtId="2" fontId="21" fillId="0" borderId="36" xfId="0" applyNumberFormat="1" applyFont="1" applyBorder="1" applyAlignment="1">
      <alignment/>
    </xf>
    <xf numFmtId="49" fontId="0" fillId="0" borderId="35" xfId="0" applyNumberFormat="1" applyBorder="1" applyAlignment="1">
      <alignment horizontal="center"/>
    </xf>
    <xf numFmtId="2" fontId="21" fillId="0" borderId="11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1" fontId="21" fillId="0" borderId="44" xfId="0" applyNumberFormat="1" applyFont="1" applyBorder="1" applyAlignment="1">
      <alignment horizontal="center"/>
    </xf>
    <xf numFmtId="0" fontId="21" fillId="0" borderId="42" xfId="0" applyFont="1" applyBorder="1" applyAlignment="1">
      <alignment/>
    </xf>
    <xf numFmtId="2" fontId="21" fillId="0" borderId="23" xfId="0" applyNumberFormat="1" applyFont="1" applyBorder="1" applyAlignment="1">
      <alignment/>
    </xf>
    <xf numFmtId="2" fontId="21" fillId="0" borderId="42" xfId="0" applyNumberFormat="1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8"/>
  <sheetViews>
    <sheetView tabSelected="1" zoomScalePageLayoutView="0" workbookViewId="0" topLeftCell="A10">
      <selection activeCell="V1" sqref="V1:X1"/>
    </sheetView>
  </sheetViews>
  <sheetFormatPr defaultColWidth="9.00390625" defaultRowHeight="12.75"/>
  <cols>
    <col min="1" max="1" width="0.12890625" style="28" customWidth="1"/>
    <col min="2" max="2" width="23.875" style="0" customWidth="1"/>
    <col min="3" max="3" width="8.00390625" style="0" hidden="1" customWidth="1"/>
    <col min="4" max="4" width="8.75390625" style="0" hidden="1" customWidth="1"/>
    <col min="5" max="5" width="9.375" style="0" hidden="1" customWidth="1"/>
    <col min="6" max="6" width="9.125" style="0" hidden="1" customWidth="1"/>
    <col min="7" max="7" width="9.375" style="0" hidden="1" customWidth="1"/>
    <col min="8" max="8" width="8.75390625" style="0" hidden="1" customWidth="1"/>
    <col min="9" max="9" width="9.375" style="0" hidden="1" customWidth="1"/>
    <col min="10" max="10" width="8.125" style="0" customWidth="1"/>
    <col min="11" max="11" width="8.875" style="0" customWidth="1"/>
    <col min="12" max="13" width="8.625" style="0" customWidth="1"/>
    <col min="14" max="17" width="8.25390625" style="0" customWidth="1"/>
    <col min="18" max="18" width="8.875" style="0" customWidth="1"/>
    <col min="19" max="19" width="8.75390625" style="0" customWidth="1"/>
    <col min="20" max="20" width="8.875" style="0" customWidth="1"/>
    <col min="21" max="21" width="9.625" style="0" customWidth="1"/>
    <col min="22" max="22" width="10.875" style="0" customWidth="1"/>
    <col min="23" max="23" width="10.00390625" style="0" hidden="1" customWidth="1"/>
  </cols>
  <sheetData>
    <row r="1" spans="2:28" ht="12.75" customHeight="1">
      <c r="B1" s="104" t="s">
        <v>9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 customHeight="1">
      <c r="B2" s="104" t="s">
        <v>49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4"/>
      <c r="U2" s="4"/>
      <c r="V2" s="4"/>
      <c r="W2" s="4"/>
      <c r="X2" s="4"/>
      <c r="Y2" s="4"/>
      <c r="Z2" s="4"/>
      <c r="AA2" s="4"/>
      <c r="AB2" s="4"/>
    </row>
    <row r="3" spans="2:28" ht="11.25" customHeight="1">
      <c r="B3" s="103" t="s">
        <v>0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3"/>
      <c r="Y3" s="3"/>
      <c r="Z3" s="3"/>
      <c r="AA3" s="3"/>
      <c r="AB3" s="3"/>
    </row>
    <row r="4" spans="2:28" ht="15" customHeight="1">
      <c r="B4" s="102" t="s">
        <v>11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2"/>
      <c r="Y4" s="2"/>
      <c r="Z4" s="2"/>
      <c r="AA4" s="2"/>
      <c r="AB4" s="2"/>
    </row>
    <row r="5" spans="2:28" ht="15" customHeight="1" thickBot="1">
      <c r="B5" s="102" t="s">
        <v>45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2"/>
      <c r="Y5" s="2"/>
      <c r="Z5" s="2"/>
      <c r="AA5" s="2"/>
      <c r="AB5" s="2"/>
    </row>
    <row r="6" spans="2:28" ht="16.5" customHeight="1" hidden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2"/>
      <c r="Y6" s="2"/>
      <c r="Z6" s="2"/>
      <c r="AA6" s="2"/>
      <c r="AB6" s="2"/>
    </row>
    <row r="7" spans="1:28" ht="25.5" customHeight="1" thickBot="1">
      <c r="A7" s="39" t="s">
        <v>26</v>
      </c>
      <c r="B7" s="29" t="s">
        <v>8</v>
      </c>
      <c r="C7" s="42" t="s">
        <v>44</v>
      </c>
      <c r="D7" s="72" t="s">
        <v>47</v>
      </c>
      <c r="E7" s="56" t="s">
        <v>50</v>
      </c>
      <c r="F7" s="56" t="s">
        <v>56</v>
      </c>
      <c r="G7" s="72" t="s">
        <v>57</v>
      </c>
      <c r="H7" s="56" t="s">
        <v>60</v>
      </c>
      <c r="I7" s="56" t="s">
        <v>68</v>
      </c>
      <c r="J7" s="6" t="s">
        <v>12</v>
      </c>
      <c r="K7" s="5" t="s">
        <v>13</v>
      </c>
      <c r="L7" s="5" t="s">
        <v>14</v>
      </c>
      <c r="M7" s="5" t="s">
        <v>15</v>
      </c>
      <c r="N7" s="5" t="s">
        <v>16</v>
      </c>
      <c r="O7" s="5" t="s">
        <v>17</v>
      </c>
      <c r="P7" s="5" t="s">
        <v>18</v>
      </c>
      <c r="Q7" s="5" t="s">
        <v>19</v>
      </c>
      <c r="R7" s="5" t="s">
        <v>20</v>
      </c>
      <c r="S7" s="5" t="s">
        <v>21</v>
      </c>
      <c r="T7" s="5" t="s">
        <v>23</v>
      </c>
      <c r="U7" s="16" t="s">
        <v>22</v>
      </c>
      <c r="V7" s="56" t="s">
        <v>69</v>
      </c>
      <c r="W7" s="52" t="s">
        <v>70</v>
      </c>
      <c r="X7" s="1"/>
      <c r="Y7" s="1"/>
      <c r="Z7" s="1"/>
      <c r="AA7" s="1"/>
      <c r="AB7" s="1"/>
    </row>
    <row r="8" spans="1:23" ht="13.5" thickBot="1">
      <c r="A8" s="40" t="s">
        <v>27</v>
      </c>
      <c r="B8" s="30" t="s">
        <v>1</v>
      </c>
      <c r="C8" s="64">
        <v>301240.2</v>
      </c>
      <c r="D8" s="73">
        <v>401906.6</v>
      </c>
      <c r="E8" s="65">
        <v>401518.36</v>
      </c>
      <c r="F8" s="64">
        <v>401337.12</v>
      </c>
      <c r="G8" s="73">
        <v>401556.08</v>
      </c>
      <c r="H8" s="64">
        <v>401401.52</v>
      </c>
      <c r="I8" s="64">
        <v>401330.68</v>
      </c>
      <c r="J8" s="7">
        <v>33435.56</v>
      </c>
      <c r="K8" s="8">
        <v>33435.56</v>
      </c>
      <c r="L8" s="8">
        <v>33403.36</v>
      </c>
      <c r="M8" s="8">
        <v>33403.36</v>
      </c>
      <c r="N8" s="8">
        <v>33403.36</v>
      </c>
      <c r="O8" s="8">
        <v>33403.36</v>
      </c>
      <c r="P8" s="8">
        <v>33403.36</v>
      </c>
      <c r="Q8" s="8">
        <v>33403.36</v>
      </c>
      <c r="R8" s="8">
        <v>33403.36</v>
      </c>
      <c r="S8" s="8">
        <v>33403.36</v>
      </c>
      <c r="T8" s="8">
        <v>33395.08</v>
      </c>
      <c r="U8" s="17">
        <v>33551.48</v>
      </c>
      <c r="V8" s="57">
        <f>SUM(J8:U8)</f>
        <v>401044.55999999994</v>
      </c>
      <c r="W8" s="79">
        <f>SUM(C8:U8)</f>
        <v>3111335.1199999996</v>
      </c>
    </row>
    <row r="9" spans="1:23" ht="12.75">
      <c r="A9" s="40"/>
      <c r="B9" s="30" t="s">
        <v>71</v>
      </c>
      <c r="C9" s="65"/>
      <c r="D9" s="73"/>
      <c r="E9" s="65"/>
      <c r="F9" s="65"/>
      <c r="G9" s="73"/>
      <c r="H9" s="65"/>
      <c r="I9" s="65"/>
      <c r="J9" s="7">
        <f>2935.48+150.3+1009.4</f>
        <v>4095.1800000000003</v>
      </c>
      <c r="K9" s="8">
        <f>2935.48+150.3+1009.4</f>
        <v>4095.1800000000003</v>
      </c>
      <c r="L9" s="8">
        <f>2935.5+150.3+1009.32</f>
        <v>4095.1200000000003</v>
      </c>
      <c r="M9" s="8">
        <f>2935.5+150.3+1009.32</f>
        <v>4095.1200000000003</v>
      </c>
      <c r="N9" s="8">
        <f>2935.5+150.3+1009.32</f>
        <v>4095.1200000000003</v>
      </c>
      <c r="O9" s="8">
        <f>3278.51+159.67+228.91+693.93</f>
        <v>4361.02</v>
      </c>
      <c r="P9" s="8">
        <f>907.85+161.21+234.49+717.97</f>
        <v>2021.52</v>
      </c>
      <c r="Q9" s="8">
        <f>2089.12+161.21+234.49+717.97</f>
        <v>3202.79</v>
      </c>
      <c r="R9" s="8">
        <f>2089.12+161.21+234.49+717.97</f>
        <v>3202.79</v>
      </c>
      <c r="S9" s="8">
        <f>2089.12+161.21+234.49+717.97</f>
        <v>3202.79</v>
      </c>
      <c r="T9" s="8">
        <f>2089.05+161.27+234.46+717.89</f>
        <v>3202.67</v>
      </c>
      <c r="U9" s="17">
        <f>2089.05+161.27+234.46+717.89</f>
        <v>3202.67</v>
      </c>
      <c r="V9" s="57">
        <f>SUM(J9:U9)</f>
        <v>42871.97</v>
      </c>
      <c r="W9" s="79">
        <f>SUM(C9:U9)</f>
        <v>42871.97</v>
      </c>
    </row>
    <row r="10" spans="1:23" ht="12.75">
      <c r="A10" s="40" t="s">
        <v>28</v>
      </c>
      <c r="B10" s="31" t="s">
        <v>2</v>
      </c>
      <c r="C10" s="66">
        <v>262965.55</v>
      </c>
      <c r="D10" s="74">
        <v>398654.35</v>
      </c>
      <c r="E10" s="66">
        <v>397296.85</v>
      </c>
      <c r="F10" s="66">
        <v>397553.41</v>
      </c>
      <c r="G10" s="74">
        <v>396299.33</v>
      </c>
      <c r="H10" s="66">
        <v>394452.75</v>
      </c>
      <c r="I10" s="66">
        <v>401172.83</v>
      </c>
      <c r="J10" s="9">
        <v>34487.84</v>
      </c>
      <c r="K10" s="10">
        <v>36630.08</v>
      </c>
      <c r="L10" s="10">
        <v>38293.57</v>
      </c>
      <c r="M10" s="10">
        <v>35484.66</v>
      </c>
      <c r="N10" s="10">
        <v>35419.53</v>
      </c>
      <c r="O10" s="10">
        <v>33973.37</v>
      </c>
      <c r="P10" s="10">
        <v>36254.65</v>
      </c>
      <c r="Q10" s="10">
        <v>36092.86</v>
      </c>
      <c r="R10" s="10">
        <v>40087.01</v>
      </c>
      <c r="S10" s="10">
        <v>33840.54</v>
      </c>
      <c r="T10" s="10">
        <v>35872.53</v>
      </c>
      <c r="U10" s="18">
        <v>36252.66</v>
      </c>
      <c r="V10" s="57">
        <f>SUM(J10:U10)</f>
        <v>432689.30000000005</v>
      </c>
      <c r="W10" s="80">
        <f>SUM(C10:U10)</f>
        <v>3081084.3699999996</v>
      </c>
    </row>
    <row r="11" spans="1:23" ht="15" customHeight="1" thickBot="1">
      <c r="A11" s="40" t="s">
        <v>29</v>
      </c>
      <c r="B11" s="32" t="s">
        <v>55</v>
      </c>
      <c r="C11" s="58">
        <f aca="true" t="shared" si="0" ref="C11:J11">SUM(C10/C8*100)</f>
        <v>87.2943086613274</v>
      </c>
      <c r="D11" s="51">
        <f t="shared" si="0"/>
        <v>99.19079457764565</v>
      </c>
      <c r="E11" s="58">
        <f t="shared" si="0"/>
        <v>98.94861345817412</v>
      </c>
      <c r="F11" s="58">
        <f t="shared" si="0"/>
        <v>99.0572240115741</v>
      </c>
      <c r="G11" s="98">
        <f t="shared" si="0"/>
        <v>98.69090514082117</v>
      </c>
      <c r="H11" s="58">
        <f>SUM(H10/H8*100)</f>
        <v>98.26887302270305</v>
      </c>
      <c r="I11" s="58">
        <f>SUM(I10/I8*100)</f>
        <v>99.96066834461797</v>
      </c>
      <c r="J11" s="22">
        <f t="shared" si="0"/>
        <v>103.14718820321838</v>
      </c>
      <c r="K11" s="22">
        <f aca="true" t="shared" si="1" ref="K11:U11">SUM(K10/K8*100)</f>
        <v>109.5542589985034</v>
      </c>
      <c r="L11" s="22">
        <f t="shared" si="1"/>
        <v>114.63987455154212</v>
      </c>
      <c r="M11" s="22">
        <f t="shared" si="1"/>
        <v>106.23081031369298</v>
      </c>
      <c r="N11" s="22">
        <f t="shared" si="1"/>
        <v>106.03582992848624</v>
      </c>
      <c r="O11" s="22">
        <f t="shared" si="1"/>
        <v>101.70644510013365</v>
      </c>
      <c r="P11" s="22">
        <f t="shared" si="1"/>
        <v>108.53593770207549</v>
      </c>
      <c r="Q11" s="22">
        <f t="shared" si="1"/>
        <v>108.05158522974934</v>
      </c>
      <c r="R11" s="22">
        <f t="shared" si="1"/>
        <v>120.00891527079911</v>
      </c>
      <c r="S11" s="22">
        <f t="shared" si="1"/>
        <v>101.30879049293245</v>
      </c>
      <c r="T11" s="22">
        <f t="shared" si="1"/>
        <v>107.41860777096505</v>
      </c>
      <c r="U11" s="51">
        <f t="shared" si="1"/>
        <v>108.05085200414408</v>
      </c>
      <c r="V11" s="68">
        <f>SUM(V10/V8*100)</f>
        <v>107.89057954058774</v>
      </c>
      <c r="W11" s="81">
        <f>SUM(W10/W8*100)</f>
        <v>99.02772447090173</v>
      </c>
    </row>
    <row r="12" spans="1:23" ht="13.5" thickBot="1">
      <c r="A12" s="40" t="s">
        <v>30</v>
      </c>
      <c r="B12" s="33" t="s">
        <v>3</v>
      </c>
      <c r="C12" s="59">
        <f aca="true" t="shared" si="2" ref="C12:J12">SUM(C13:C29)</f>
        <v>249544.77999999997</v>
      </c>
      <c r="D12" s="19">
        <f t="shared" si="2"/>
        <v>395456.87</v>
      </c>
      <c r="E12" s="59">
        <f t="shared" si="2"/>
        <v>357946.49999999994</v>
      </c>
      <c r="F12" s="59">
        <f t="shared" si="2"/>
        <v>352418.00000000006</v>
      </c>
      <c r="G12" s="99">
        <f t="shared" si="2"/>
        <v>374426.64999999997</v>
      </c>
      <c r="H12" s="59">
        <f>SUM(H13:H29)</f>
        <v>420080</v>
      </c>
      <c r="I12" s="59">
        <f>SUM(I13:I29)</f>
        <v>390402.82</v>
      </c>
      <c r="J12" s="13">
        <f t="shared" si="2"/>
        <v>32595.69</v>
      </c>
      <c r="K12" s="13">
        <f aca="true" t="shared" si="3" ref="K12:U12">SUM(K13:K29)</f>
        <v>31031.100000000002</v>
      </c>
      <c r="L12" s="13">
        <f t="shared" si="3"/>
        <v>35062.810000000005</v>
      </c>
      <c r="M12" s="13">
        <f>SUM(M13:M29)</f>
        <v>33328.78</v>
      </c>
      <c r="N12" s="13">
        <f t="shared" si="3"/>
        <v>46815.12000000001</v>
      </c>
      <c r="O12" s="13">
        <f t="shared" si="3"/>
        <v>39933.09</v>
      </c>
      <c r="P12" s="13">
        <f t="shared" si="3"/>
        <v>32941.420000000006</v>
      </c>
      <c r="Q12" s="13">
        <f t="shared" si="3"/>
        <v>40935.42</v>
      </c>
      <c r="R12" s="13">
        <f t="shared" si="3"/>
        <v>45933.979999999996</v>
      </c>
      <c r="S12" s="13">
        <f t="shared" si="3"/>
        <v>34600.33</v>
      </c>
      <c r="T12" s="13">
        <f t="shared" si="3"/>
        <v>34664.73000000001</v>
      </c>
      <c r="U12" s="19">
        <f t="shared" si="3"/>
        <v>49071.81</v>
      </c>
      <c r="V12" s="59">
        <f>SUM(J12:U12)</f>
        <v>456914.27999999997</v>
      </c>
      <c r="W12" s="86">
        <f>SUM(C12:U12)</f>
        <v>2997189.8999999994</v>
      </c>
    </row>
    <row r="13" spans="1:23" ht="13.5" thickBot="1">
      <c r="A13" s="40" t="s">
        <v>31</v>
      </c>
      <c r="B13" s="34" t="s">
        <v>5</v>
      </c>
      <c r="C13" s="46">
        <v>44791.8</v>
      </c>
      <c r="D13" s="75">
        <v>64684.5</v>
      </c>
      <c r="E13" s="46">
        <v>66754.02</v>
      </c>
      <c r="F13" s="46">
        <v>76457.86</v>
      </c>
      <c r="G13" s="75">
        <v>83800.23</v>
      </c>
      <c r="H13" s="46">
        <v>78123.21</v>
      </c>
      <c r="I13" s="46">
        <v>78970.13</v>
      </c>
      <c r="J13" s="7">
        <f>6254+77.8</f>
        <v>6331.8</v>
      </c>
      <c r="K13" s="8">
        <f>6307+368.46</f>
        <v>6675.46</v>
      </c>
      <c r="L13" s="8">
        <f>6307+216.36</f>
        <v>6523.36</v>
      </c>
      <c r="M13" s="8">
        <f>6307+685.67</f>
        <v>6992.67</v>
      </c>
      <c r="N13" s="8">
        <f>6307+342.25</f>
        <v>6649.25</v>
      </c>
      <c r="O13" s="8">
        <f>6307+209.2</f>
        <v>6516.2</v>
      </c>
      <c r="P13" s="8">
        <f>6307+329.57</f>
        <v>6636.57</v>
      </c>
      <c r="Q13" s="8">
        <f>6307+383.21</f>
        <v>6690.21</v>
      </c>
      <c r="R13" s="8">
        <f>6148+387.23</f>
        <v>6535.23</v>
      </c>
      <c r="S13" s="8">
        <f>6148+399.38</f>
        <v>6547.38</v>
      </c>
      <c r="T13" s="8">
        <f>6148+349.03</f>
        <v>6497.03</v>
      </c>
      <c r="U13" s="17">
        <f>6148+349.67</f>
        <v>6497.67</v>
      </c>
      <c r="V13" s="59">
        <f aca="true" t="shared" si="4" ref="V13:V31">SUM(J13:U13)</f>
        <v>79092.83</v>
      </c>
      <c r="W13" s="86">
        <f aca="true" t="shared" si="5" ref="W13:W30">SUM(C13:U13)</f>
        <v>572674.58</v>
      </c>
    </row>
    <row r="14" spans="1:27" ht="15.75" customHeight="1" thickBot="1">
      <c r="A14" s="40" t="s">
        <v>32</v>
      </c>
      <c r="B14" s="35" t="s">
        <v>61</v>
      </c>
      <c r="C14" s="47">
        <v>57798.95</v>
      </c>
      <c r="D14" s="76">
        <v>27963.53</v>
      </c>
      <c r="E14" s="47">
        <f>3012.75+8347.4</f>
        <v>11360.15</v>
      </c>
      <c r="F14" s="47">
        <v>1735.36</v>
      </c>
      <c r="G14" s="76">
        <f>1283.34+1200</f>
        <v>2483.34</v>
      </c>
      <c r="H14" s="47">
        <v>9818.11</v>
      </c>
      <c r="I14" s="47">
        <v>14710.81</v>
      </c>
      <c r="J14" s="9"/>
      <c r="K14" s="10"/>
      <c r="L14" s="10"/>
      <c r="M14" s="10"/>
      <c r="N14" s="10">
        <v>704</v>
      </c>
      <c r="O14" s="10"/>
      <c r="P14" s="10"/>
      <c r="Q14" s="10"/>
      <c r="R14" s="10"/>
      <c r="S14" s="10"/>
      <c r="T14" s="10"/>
      <c r="U14" s="18"/>
      <c r="V14" s="59">
        <f t="shared" si="4"/>
        <v>704</v>
      </c>
      <c r="W14" s="86">
        <f t="shared" si="5"/>
        <v>126574.24999999999</v>
      </c>
      <c r="AA14" t="s">
        <v>59</v>
      </c>
    </row>
    <row r="15" spans="1:23" ht="12.75" customHeight="1" thickBot="1">
      <c r="A15" s="40" t="s">
        <v>33</v>
      </c>
      <c r="B15" s="32" t="s">
        <v>6</v>
      </c>
      <c r="C15" s="47">
        <v>0</v>
      </c>
      <c r="D15" s="76">
        <v>4637.16</v>
      </c>
      <c r="E15" s="47">
        <v>0</v>
      </c>
      <c r="F15" s="47">
        <v>0</v>
      </c>
      <c r="G15" s="76"/>
      <c r="H15" s="47">
        <v>14377</v>
      </c>
      <c r="I15" s="47">
        <v>0</v>
      </c>
      <c r="J15" s="9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8"/>
      <c r="V15" s="59">
        <f t="shared" si="4"/>
        <v>0</v>
      </c>
      <c r="W15" s="86">
        <f t="shared" si="5"/>
        <v>19014.16</v>
      </c>
    </row>
    <row r="16" spans="1:23" ht="13.5" customHeight="1" thickBot="1">
      <c r="A16" s="40" t="s">
        <v>34</v>
      </c>
      <c r="B16" s="35" t="s">
        <v>51</v>
      </c>
      <c r="C16" s="47">
        <v>30461.75</v>
      </c>
      <c r="D16" s="76">
        <v>60986.1</v>
      </c>
      <c r="E16" s="47">
        <v>19457.62</v>
      </c>
      <c r="F16" s="47">
        <v>16922.29</v>
      </c>
      <c r="G16" s="76">
        <v>21509.27</v>
      </c>
      <c r="H16" s="47">
        <v>24912.52</v>
      </c>
      <c r="I16" s="47">
        <v>17036.39</v>
      </c>
      <c r="J16" s="9">
        <v>135</v>
      </c>
      <c r="K16" s="10">
        <v>377</v>
      </c>
      <c r="L16" s="10">
        <v>222</v>
      </c>
      <c r="M16" s="10">
        <v>240</v>
      </c>
      <c r="N16" s="10">
        <f>4925.9+800</f>
        <v>5725.9</v>
      </c>
      <c r="O16" s="10">
        <v>4049.4</v>
      </c>
      <c r="P16" s="10">
        <v>392.32</v>
      </c>
      <c r="Q16" s="10">
        <f>4263.84+665</f>
        <v>4928.84</v>
      </c>
      <c r="R16" s="10">
        <f>7986.4+3222</f>
        <v>11208.4</v>
      </c>
      <c r="S16" s="10">
        <v>2129.8</v>
      </c>
      <c r="T16" s="10">
        <v>1191.6</v>
      </c>
      <c r="U16" s="18">
        <v>16855</v>
      </c>
      <c r="V16" s="59">
        <f t="shared" si="4"/>
        <v>47455.259999999995</v>
      </c>
      <c r="W16" s="86">
        <f t="shared" si="5"/>
        <v>238741.19999999998</v>
      </c>
    </row>
    <row r="17" spans="1:23" ht="14.25" customHeight="1" thickBot="1">
      <c r="A17" s="40" t="s">
        <v>63</v>
      </c>
      <c r="B17" s="35" t="s">
        <v>62</v>
      </c>
      <c r="C17" s="47"/>
      <c r="D17" s="76"/>
      <c r="E17" s="47"/>
      <c r="F17" s="47"/>
      <c r="G17" s="76"/>
      <c r="H17" s="47">
        <v>3600</v>
      </c>
      <c r="I17" s="47">
        <v>3900</v>
      </c>
      <c r="J17" s="9"/>
      <c r="K17" s="10"/>
      <c r="L17" s="10"/>
      <c r="M17" s="10"/>
      <c r="N17" s="10">
        <v>3800</v>
      </c>
      <c r="O17" s="10"/>
      <c r="P17" s="10"/>
      <c r="Q17" s="10"/>
      <c r="R17" s="10"/>
      <c r="S17" s="10"/>
      <c r="T17" s="10"/>
      <c r="U17" s="18"/>
      <c r="V17" s="59">
        <f>SUM(J17:U17)</f>
        <v>3800</v>
      </c>
      <c r="W17" s="86">
        <f>SUM(C17:U17)</f>
        <v>11300</v>
      </c>
    </row>
    <row r="18" spans="1:23" ht="18.75" customHeight="1" thickBot="1">
      <c r="A18" s="40" t="s">
        <v>35</v>
      </c>
      <c r="B18" s="35" t="s">
        <v>76</v>
      </c>
      <c r="C18" s="47"/>
      <c r="D18" s="76"/>
      <c r="E18" s="47">
        <v>4994</v>
      </c>
      <c r="F18" s="47">
        <v>0</v>
      </c>
      <c r="G18" s="76"/>
      <c r="H18" s="47">
        <v>0</v>
      </c>
      <c r="I18" s="47">
        <v>0</v>
      </c>
      <c r="J18" s="9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8"/>
      <c r="V18" s="59">
        <f>SUM(J18:U18)</f>
        <v>0</v>
      </c>
      <c r="W18" s="86">
        <f>SUM(C18:U18)</f>
        <v>4994</v>
      </c>
    </row>
    <row r="19" spans="1:23" ht="15.75" customHeight="1" thickBot="1">
      <c r="A19" s="40" t="s">
        <v>36</v>
      </c>
      <c r="B19" s="35" t="s">
        <v>46</v>
      </c>
      <c r="C19" s="47">
        <v>0</v>
      </c>
      <c r="D19" s="76">
        <v>5860.3</v>
      </c>
      <c r="E19" s="47">
        <v>256</v>
      </c>
      <c r="F19" s="47">
        <v>0</v>
      </c>
      <c r="G19" s="76">
        <v>9945.83</v>
      </c>
      <c r="H19" s="47">
        <v>1452.96</v>
      </c>
      <c r="I19" s="47">
        <v>708.85</v>
      </c>
      <c r="J19" s="9">
        <v>168.15</v>
      </c>
      <c r="K19" s="10"/>
      <c r="L19" s="10"/>
      <c r="M19" s="10"/>
      <c r="N19" s="10"/>
      <c r="O19" s="10">
        <v>900</v>
      </c>
      <c r="P19" s="10"/>
      <c r="Q19" s="10"/>
      <c r="R19" s="10"/>
      <c r="S19" s="10"/>
      <c r="T19" s="10"/>
      <c r="U19" s="18">
        <v>278.43</v>
      </c>
      <c r="V19" s="59">
        <f t="shared" si="4"/>
        <v>1346.5800000000002</v>
      </c>
      <c r="W19" s="86">
        <f t="shared" si="5"/>
        <v>19570.52</v>
      </c>
    </row>
    <row r="20" spans="1:23" ht="12" customHeight="1" thickBot="1">
      <c r="A20" s="40" t="s">
        <v>37</v>
      </c>
      <c r="B20" s="35" t="s">
        <v>72</v>
      </c>
      <c r="C20" s="47">
        <v>8232.4</v>
      </c>
      <c r="D20" s="76">
        <v>13947.34</v>
      </c>
      <c r="E20" s="47">
        <v>8772.05</v>
      </c>
      <c r="F20" s="47">
        <v>0</v>
      </c>
      <c r="G20" s="76"/>
      <c r="H20" s="47">
        <v>0</v>
      </c>
      <c r="I20" s="47">
        <v>0</v>
      </c>
      <c r="J20" s="9">
        <v>2935.48</v>
      </c>
      <c r="K20" s="10">
        <v>2935.48</v>
      </c>
      <c r="L20" s="10">
        <v>2935.5</v>
      </c>
      <c r="M20" s="10">
        <v>2935.5</v>
      </c>
      <c r="N20" s="10">
        <v>2935.5</v>
      </c>
      <c r="O20" s="10">
        <v>3278.51</v>
      </c>
      <c r="P20" s="10">
        <v>907.85</v>
      </c>
      <c r="Q20" s="10">
        <v>2089.12</v>
      </c>
      <c r="R20" s="10">
        <v>2089.12</v>
      </c>
      <c r="S20" s="10">
        <v>2089.12</v>
      </c>
      <c r="T20" s="10">
        <v>2089.05</v>
      </c>
      <c r="U20" s="10">
        <v>2089.05</v>
      </c>
      <c r="V20" s="59">
        <f t="shared" si="4"/>
        <v>29309.279999999995</v>
      </c>
      <c r="W20" s="86">
        <f t="shared" si="5"/>
        <v>60261.070000000014</v>
      </c>
    </row>
    <row r="21" spans="1:23" ht="12" customHeight="1" thickBot="1">
      <c r="A21" s="40"/>
      <c r="B21" s="35" t="s">
        <v>74</v>
      </c>
      <c r="C21" s="47"/>
      <c r="D21" s="76"/>
      <c r="E21" s="47"/>
      <c r="F21" s="47"/>
      <c r="G21" s="76"/>
      <c r="H21" s="47"/>
      <c r="I21" s="47"/>
      <c r="J21" s="9"/>
      <c r="K21" s="10"/>
      <c r="L21" s="10"/>
      <c r="M21" s="10"/>
      <c r="N21" s="10">
        <v>601.24</v>
      </c>
      <c r="O21" s="10">
        <v>310.02</v>
      </c>
      <c r="P21" s="10">
        <v>161.23</v>
      </c>
      <c r="Q21" s="10">
        <v>161.23</v>
      </c>
      <c r="R21" s="10">
        <v>161.23</v>
      </c>
      <c r="S21" s="10">
        <v>161.23</v>
      </c>
      <c r="T21" s="10">
        <v>161.23</v>
      </c>
      <c r="U21" s="10">
        <v>161.23</v>
      </c>
      <c r="V21" s="59">
        <f>SUM(J21:U21)</f>
        <v>1878.64</v>
      </c>
      <c r="W21" s="86">
        <f>SUM(C21:U21)</f>
        <v>1878.64</v>
      </c>
    </row>
    <row r="22" spans="1:23" ht="12" customHeight="1" thickBot="1">
      <c r="A22" s="40"/>
      <c r="B22" s="35" t="s">
        <v>73</v>
      </c>
      <c r="C22" s="47"/>
      <c r="D22" s="76"/>
      <c r="E22" s="47"/>
      <c r="F22" s="47"/>
      <c r="G22" s="76"/>
      <c r="H22" s="47"/>
      <c r="I22" s="47"/>
      <c r="J22" s="9"/>
      <c r="K22" s="10"/>
      <c r="L22" s="10">
        <f>1968.1+971.76</f>
        <v>2939.8599999999997</v>
      </c>
      <c r="M22" s="10">
        <v>1009.43</v>
      </c>
      <c r="N22" s="10">
        <v>1009.43</v>
      </c>
      <c r="O22" s="10">
        <v>693.95</v>
      </c>
      <c r="P22" s="10">
        <v>357.18</v>
      </c>
      <c r="Q22" s="10">
        <v>717.97</v>
      </c>
      <c r="R22" s="10">
        <v>717.95</v>
      </c>
      <c r="S22" s="10">
        <v>717.95</v>
      </c>
      <c r="T22" s="10">
        <v>717.95</v>
      </c>
      <c r="U22" s="10">
        <v>717.95</v>
      </c>
      <c r="V22" s="59">
        <f>SUM(J22:U22)</f>
        <v>9599.62</v>
      </c>
      <c r="W22" s="86">
        <f>SUM(C22:U22)</f>
        <v>9599.62</v>
      </c>
    </row>
    <row r="23" spans="1:23" ht="12" customHeight="1" thickBot="1">
      <c r="A23" s="40"/>
      <c r="B23" s="35" t="s">
        <v>75</v>
      </c>
      <c r="C23" s="47"/>
      <c r="D23" s="76"/>
      <c r="E23" s="47"/>
      <c r="F23" s="47"/>
      <c r="G23" s="76"/>
      <c r="H23" s="47"/>
      <c r="I23" s="47"/>
      <c r="J23" s="9"/>
      <c r="K23" s="10"/>
      <c r="L23" s="10"/>
      <c r="M23" s="10"/>
      <c r="N23" s="10"/>
      <c r="O23" s="10">
        <v>228.99</v>
      </c>
      <c r="P23" s="10">
        <v>234.52</v>
      </c>
      <c r="Q23" s="10">
        <v>234.52</v>
      </c>
      <c r="R23" s="10">
        <v>234.52</v>
      </c>
      <c r="S23" s="10">
        <v>234.52</v>
      </c>
      <c r="T23" s="10">
        <v>234.52</v>
      </c>
      <c r="U23" s="10">
        <v>234.52</v>
      </c>
      <c r="V23" s="59">
        <f>SUM(J23:U23)</f>
        <v>1636.11</v>
      </c>
      <c r="W23" s="86">
        <f>SUM(C23:U23)</f>
        <v>1636.11</v>
      </c>
    </row>
    <row r="24" spans="1:23" ht="13.5" customHeight="1" thickBot="1">
      <c r="A24" s="40" t="s">
        <v>38</v>
      </c>
      <c r="B24" s="35" t="s">
        <v>7</v>
      </c>
      <c r="C24" s="47">
        <v>941.05</v>
      </c>
      <c r="D24" s="76">
        <v>659.72</v>
      </c>
      <c r="E24" s="47">
        <v>837.54</v>
      </c>
      <c r="F24" s="47">
        <v>888.31</v>
      </c>
      <c r="G24" s="76">
        <v>1055.61</v>
      </c>
      <c r="H24" s="47">
        <v>1084.28</v>
      </c>
      <c r="I24" s="47">
        <v>721.35</v>
      </c>
      <c r="J24" s="9">
        <v>90.84</v>
      </c>
      <c r="K24" s="10"/>
      <c r="L24" s="10"/>
      <c r="M24" s="10">
        <v>196.48</v>
      </c>
      <c r="N24" s="10"/>
      <c r="O24" s="10">
        <v>213.04</v>
      </c>
      <c r="P24" s="10"/>
      <c r="Q24" s="10"/>
      <c r="R24" s="10">
        <v>287.26</v>
      </c>
      <c r="S24" s="10"/>
      <c r="T24" s="10"/>
      <c r="U24" s="18">
        <v>295.59</v>
      </c>
      <c r="V24" s="59">
        <f t="shared" si="4"/>
        <v>1083.21</v>
      </c>
      <c r="W24" s="86">
        <f t="shared" si="5"/>
        <v>7271.07</v>
      </c>
    </row>
    <row r="25" spans="1:23" ht="25.5" customHeight="1" thickBot="1">
      <c r="A25" s="40" t="s">
        <v>39</v>
      </c>
      <c r="B25" s="35" t="s">
        <v>66</v>
      </c>
      <c r="C25" s="47">
        <v>4955.27</v>
      </c>
      <c r="D25" s="76">
        <v>17677.63</v>
      </c>
      <c r="E25" s="47">
        <v>22783.56</v>
      </c>
      <c r="F25" s="47">
        <v>20593.37</v>
      </c>
      <c r="G25" s="76">
        <v>14821.3</v>
      </c>
      <c r="H25" s="47">
        <v>17473.95</v>
      </c>
      <c r="I25" s="47">
        <v>18475.43</v>
      </c>
      <c r="J25" s="9">
        <v>1563.82</v>
      </c>
      <c r="K25" s="10">
        <v>1462.22</v>
      </c>
      <c r="L25" s="10">
        <v>1816.01</v>
      </c>
      <c r="M25" s="10">
        <v>1349.65</v>
      </c>
      <c r="N25" s="10">
        <v>1437.34</v>
      </c>
      <c r="O25" s="10">
        <v>1616.4</v>
      </c>
      <c r="P25" s="10">
        <v>1310.03</v>
      </c>
      <c r="Q25" s="10">
        <v>1515.29</v>
      </c>
      <c r="R25" s="10">
        <v>1425.3</v>
      </c>
      <c r="S25" s="10">
        <v>1818.46</v>
      </c>
      <c r="T25" s="10">
        <v>1880.52</v>
      </c>
      <c r="U25" s="18">
        <v>1561.26</v>
      </c>
      <c r="V25" s="59">
        <f t="shared" si="4"/>
        <v>18756.3</v>
      </c>
      <c r="W25" s="86">
        <f t="shared" si="5"/>
        <v>135536.81</v>
      </c>
    </row>
    <row r="26" spans="1:23" ht="23.25" customHeight="1" thickBot="1">
      <c r="A26" s="40" t="s">
        <v>40</v>
      </c>
      <c r="B26" s="35" t="s">
        <v>67</v>
      </c>
      <c r="C26" s="47">
        <v>8146.68</v>
      </c>
      <c r="D26" s="76">
        <v>9622.62</v>
      </c>
      <c r="E26" s="47">
        <v>2883.77</v>
      </c>
      <c r="F26" s="47">
        <v>2048.94</v>
      </c>
      <c r="G26" s="76">
        <v>4459.22</v>
      </c>
      <c r="H26" s="47">
        <v>2814.47</v>
      </c>
      <c r="I26" s="47">
        <v>2628.2</v>
      </c>
      <c r="J26" s="9">
        <v>343.66</v>
      </c>
      <c r="K26" s="10">
        <v>105.74</v>
      </c>
      <c r="L26" s="10">
        <v>113.39</v>
      </c>
      <c r="M26" s="10">
        <v>104.86</v>
      </c>
      <c r="N26" s="10">
        <v>101.76</v>
      </c>
      <c r="O26" s="10">
        <v>158.23</v>
      </c>
      <c r="P26" s="10">
        <v>148.64</v>
      </c>
      <c r="Q26" s="10">
        <v>457.64</v>
      </c>
      <c r="R26" s="10">
        <v>106.82</v>
      </c>
      <c r="S26" s="10">
        <v>157.94</v>
      </c>
      <c r="T26" s="10">
        <v>106.77</v>
      </c>
      <c r="U26" s="18">
        <v>146.24</v>
      </c>
      <c r="V26" s="59">
        <f t="shared" si="4"/>
        <v>2051.69</v>
      </c>
      <c r="W26" s="86">
        <f t="shared" si="5"/>
        <v>34655.590000000004</v>
      </c>
    </row>
    <row r="27" spans="1:23" ht="36" customHeight="1" thickBot="1">
      <c r="A27" s="40" t="s">
        <v>52</v>
      </c>
      <c r="B27" s="35" t="s">
        <v>65</v>
      </c>
      <c r="C27" s="47">
        <v>6445.97</v>
      </c>
      <c r="D27" s="76">
        <v>15658.93</v>
      </c>
      <c r="E27" s="47">
        <v>14988.06</v>
      </c>
      <c r="F27" s="47">
        <v>20099.34</v>
      </c>
      <c r="G27" s="76">
        <v>17286.68</v>
      </c>
      <c r="H27" s="47">
        <v>22271.02</v>
      </c>
      <c r="I27" s="47">
        <v>19224.52</v>
      </c>
      <c r="J27" s="9">
        <f>68.93+480.11+785.88</f>
        <v>1334.92</v>
      </c>
      <c r="K27" s="10">
        <f>68.63+568.88+481.89</f>
        <v>1119.4</v>
      </c>
      <c r="L27" s="10">
        <f>67.52+631.69+845.57</f>
        <v>1544.7800000000002</v>
      </c>
      <c r="M27" s="10">
        <f>63.74+578.8+813.88</f>
        <v>1456.42</v>
      </c>
      <c r="N27" s="10">
        <f>65.48+702.13+1991.06</f>
        <v>2758.67</v>
      </c>
      <c r="O27" s="10">
        <f>967.39+76.84+574.98</f>
        <v>1619.21</v>
      </c>
      <c r="P27" s="10">
        <f>84.08+506.04+903.41</f>
        <v>1493.53</v>
      </c>
      <c r="Q27" s="10">
        <f>91.13+466.93+1076.78</f>
        <v>1634.84</v>
      </c>
      <c r="R27" s="10">
        <f>924.45+73.28+592.16</f>
        <v>1589.8899999999999</v>
      </c>
      <c r="S27" s="10">
        <f>94.11+669.23+976.25</f>
        <v>1739.5900000000001</v>
      </c>
      <c r="T27" s="10">
        <f>86.36+779.64+1540.63</f>
        <v>2406.63</v>
      </c>
      <c r="U27" s="18">
        <f>89.4+789.24+656.71</f>
        <v>1535.35</v>
      </c>
      <c r="V27" s="59">
        <f t="shared" si="4"/>
        <v>20233.23</v>
      </c>
      <c r="W27" s="86">
        <f t="shared" si="5"/>
        <v>136207.75000000003</v>
      </c>
    </row>
    <row r="28" spans="1:23" ht="15.75" customHeight="1" thickBot="1">
      <c r="A28" s="40" t="s">
        <v>53</v>
      </c>
      <c r="B28" s="35" t="s">
        <v>10</v>
      </c>
      <c r="C28" s="47">
        <v>77220.73</v>
      </c>
      <c r="D28" s="76">
        <v>149455.18</v>
      </c>
      <c r="E28" s="47">
        <v>188276.56</v>
      </c>
      <c r="F28" s="47">
        <v>198579.7</v>
      </c>
      <c r="G28" s="76">
        <v>203569.73</v>
      </c>
      <c r="H28" s="47">
        <v>228935.94</v>
      </c>
      <c r="I28" s="47">
        <v>218706.65</v>
      </c>
      <c r="J28" s="9">
        <f>31347.53-12957.77</f>
        <v>18389.76</v>
      </c>
      <c r="K28" s="10">
        <f>29763.32-12790.67</f>
        <v>16972.65</v>
      </c>
      <c r="L28" s="10">
        <f>33490.9-15968.95</f>
        <v>17521.95</v>
      </c>
      <c r="M28" s="10">
        <f>32296.42-14592.55</f>
        <v>17703.87</v>
      </c>
      <c r="N28" s="10">
        <f>12829.35+2216.36+3923.28+785.6</f>
        <v>19754.59</v>
      </c>
      <c r="O28" s="10">
        <f>39933.09-20866.79</f>
        <v>19066.299999999996</v>
      </c>
      <c r="P28" s="10">
        <f>32941.42-13010.85</f>
        <v>19930.57</v>
      </c>
      <c r="Q28" s="10">
        <f>40935.42-19792.53</f>
        <v>21142.89</v>
      </c>
      <c r="R28" s="10">
        <f>45933.98-25869.4</f>
        <v>20064.58</v>
      </c>
      <c r="S28" s="10">
        <f>34600.33-16873.81</f>
        <v>17726.52</v>
      </c>
      <c r="T28" s="10">
        <f>34664.73-16639.85</f>
        <v>18024.880000000005</v>
      </c>
      <c r="U28" s="18">
        <f>49071.81-31741.19</f>
        <v>17330.62</v>
      </c>
      <c r="V28" s="59">
        <f t="shared" si="4"/>
        <v>223629.18000000002</v>
      </c>
      <c r="W28" s="86">
        <f>SUM(C28:U28)</f>
        <v>1488373.67</v>
      </c>
    </row>
    <row r="29" spans="1:23" ht="13.5" customHeight="1" thickBot="1">
      <c r="A29" s="40" t="s">
        <v>54</v>
      </c>
      <c r="B29" s="36" t="s">
        <v>4</v>
      </c>
      <c r="C29" s="48">
        <v>10550.18</v>
      </c>
      <c r="D29" s="77">
        <v>24303.86</v>
      </c>
      <c r="E29" s="48">
        <v>16583.17</v>
      </c>
      <c r="F29" s="48">
        <v>15092.83</v>
      </c>
      <c r="G29" s="77">
        <v>15495.44</v>
      </c>
      <c r="H29" s="48">
        <v>15216.54</v>
      </c>
      <c r="I29" s="48">
        <v>15320.49</v>
      </c>
      <c r="J29" s="11">
        <v>1302.26</v>
      </c>
      <c r="K29" s="12">
        <f>139.6+1243.55</f>
        <v>1383.1499999999999</v>
      </c>
      <c r="L29" s="12">
        <f>151.52+1294.44</f>
        <v>1445.96</v>
      </c>
      <c r="M29" s="12">
        <f>145.2+1194.7</f>
        <v>1339.9</v>
      </c>
      <c r="N29" s="12">
        <f>145.68+1191.76</f>
        <v>1337.44</v>
      </c>
      <c r="O29" s="12">
        <f>138.13+1144.71</f>
        <v>1282.8400000000001</v>
      </c>
      <c r="P29" s="12">
        <f>157.06+1211.92</f>
        <v>1368.98</v>
      </c>
      <c r="Q29" s="12">
        <f>82.71+1280.16</f>
        <v>1362.8700000000001</v>
      </c>
      <c r="R29" s="12">
        <f>125.72+1387.96</f>
        <v>1513.68</v>
      </c>
      <c r="S29" s="12">
        <f>111.3+1166.52</f>
        <v>1277.82</v>
      </c>
      <c r="T29" s="12">
        <f>115.9+1238.65</f>
        <v>1354.5500000000002</v>
      </c>
      <c r="U29" s="20">
        <f>116.33+1252.57</f>
        <v>1368.8999999999999</v>
      </c>
      <c r="V29" s="59">
        <f t="shared" si="4"/>
        <v>16338.35</v>
      </c>
      <c r="W29" s="86">
        <f t="shared" si="5"/>
        <v>128900.85999999997</v>
      </c>
    </row>
    <row r="30" spans="1:23" ht="14.25" customHeight="1" thickBot="1">
      <c r="A30" s="40"/>
      <c r="B30" s="43" t="s">
        <v>58</v>
      </c>
      <c r="C30" s="82"/>
      <c r="D30" s="82"/>
      <c r="E30" s="82"/>
      <c r="F30" s="82"/>
      <c r="G30" s="101">
        <f aca="true" t="shared" si="6" ref="G30:U30">G8*5%</f>
        <v>20077.804000000004</v>
      </c>
      <c r="H30" s="85">
        <f t="shared" si="6"/>
        <v>20070.076</v>
      </c>
      <c r="I30" s="85">
        <f t="shared" si="6"/>
        <v>20066.534</v>
      </c>
      <c r="J30" s="83">
        <f t="shared" si="6"/>
        <v>1671.778</v>
      </c>
      <c r="K30" s="83">
        <f t="shared" si="6"/>
        <v>1671.778</v>
      </c>
      <c r="L30" s="83">
        <f t="shared" si="6"/>
        <v>1670.1680000000001</v>
      </c>
      <c r="M30" s="83">
        <f t="shared" si="6"/>
        <v>1670.1680000000001</v>
      </c>
      <c r="N30" s="83">
        <f t="shared" si="6"/>
        <v>1670.1680000000001</v>
      </c>
      <c r="O30" s="83">
        <f t="shared" si="6"/>
        <v>1670.1680000000001</v>
      </c>
      <c r="P30" s="83">
        <f t="shared" si="6"/>
        <v>1670.1680000000001</v>
      </c>
      <c r="Q30" s="83">
        <f t="shared" si="6"/>
        <v>1670.1680000000001</v>
      </c>
      <c r="R30" s="83">
        <f t="shared" si="6"/>
        <v>1670.1680000000001</v>
      </c>
      <c r="S30" s="83">
        <f t="shared" si="6"/>
        <v>1670.1680000000001</v>
      </c>
      <c r="T30" s="83">
        <f t="shared" si="6"/>
        <v>1669.7540000000001</v>
      </c>
      <c r="U30" s="83">
        <f t="shared" si="6"/>
        <v>1677.5740000000003</v>
      </c>
      <c r="V30" s="85">
        <f t="shared" si="4"/>
        <v>20052.228</v>
      </c>
      <c r="W30" s="86">
        <f t="shared" si="5"/>
        <v>80266.64200000002</v>
      </c>
    </row>
    <row r="31" spans="1:23" ht="15" customHeight="1" thickBot="1">
      <c r="A31" s="89" t="s">
        <v>41</v>
      </c>
      <c r="B31" s="62" t="s">
        <v>48</v>
      </c>
      <c r="C31" s="63"/>
      <c r="D31" s="78"/>
      <c r="E31" s="63"/>
      <c r="F31" s="63"/>
      <c r="G31" s="78"/>
      <c r="H31" s="63"/>
      <c r="I31" s="63"/>
      <c r="J31" s="84">
        <f>SUM(J8+J9-J12)-J30</f>
        <v>3263.271999999999</v>
      </c>
      <c r="K31" s="84">
        <f aca="true" t="shared" si="7" ref="K31:U31">SUM(K8+K9-K12)-K30</f>
        <v>4827.8619999999955</v>
      </c>
      <c r="L31" s="84">
        <f t="shared" si="7"/>
        <v>765.5019999999981</v>
      </c>
      <c r="M31" s="84">
        <f t="shared" si="7"/>
        <v>2499.5320000000042</v>
      </c>
      <c r="N31" s="84">
        <f t="shared" si="7"/>
        <v>-10986.808000000006</v>
      </c>
      <c r="O31" s="84">
        <f t="shared" si="7"/>
        <v>-3838.877999999992</v>
      </c>
      <c r="P31" s="84">
        <f t="shared" si="7"/>
        <v>813.2919999999917</v>
      </c>
      <c r="Q31" s="84">
        <f t="shared" si="7"/>
        <v>-5999.4379999999965</v>
      </c>
      <c r="R31" s="84">
        <f t="shared" si="7"/>
        <v>-10997.997999999994</v>
      </c>
      <c r="S31" s="84">
        <f t="shared" si="7"/>
        <v>335.6519999999996</v>
      </c>
      <c r="T31" s="84">
        <f t="shared" si="7"/>
        <v>263.2659999999894</v>
      </c>
      <c r="U31" s="84">
        <f t="shared" si="7"/>
        <v>-13995.233999999997</v>
      </c>
      <c r="V31" s="90">
        <f t="shared" si="4"/>
        <v>-33049.978</v>
      </c>
      <c r="W31" s="87"/>
    </row>
    <row r="32" spans="1:23" ht="21.75" customHeight="1" thickBot="1">
      <c r="A32" s="95" t="s">
        <v>42</v>
      </c>
      <c r="B32" s="49" t="s">
        <v>24</v>
      </c>
      <c r="C32" s="43">
        <v>51695.42</v>
      </c>
      <c r="D32" s="19">
        <f>SUM(D8-D12)</f>
        <v>6449.729999999981</v>
      </c>
      <c r="E32" s="59">
        <f>SUM(E8-E12)</f>
        <v>43571.860000000044</v>
      </c>
      <c r="F32" s="59">
        <f>SUM(F8-F12)</f>
        <v>48919.11999999994</v>
      </c>
      <c r="G32" s="100">
        <f>SUM(G8-G12)-G30</f>
        <v>7051.6260000000475</v>
      </c>
      <c r="H32" s="85">
        <f>SUM(H8-H12)-H30</f>
        <v>-38748.55599999998</v>
      </c>
      <c r="I32" s="85">
        <f>SUM(I8-I12)-I30</f>
        <v>-9138.674000000014</v>
      </c>
      <c r="J32" s="96">
        <f>SUM(J8+J9-J12)-J30</f>
        <v>3263.271999999999</v>
      </c>
      <c r="K32" s="97">
        <f>SUM(J32+K31)</f>
        <v>8091.133999999995</v>
      </c>
      <c r="L32" s="97">
        <f aca="true" t="shared" si="8" ref="L32:U32">SUM(K32+L31)</f>
        <v>8856.635999999993</v>
      </c>
      <c r="M32" s="97">
        <f t="shared" si="8"/>
        <v>11356.167999999998</v>
      </c>
      <c r="N32" s="97">
        <f t="shared" si="8"/>
        <v>369.3599999999915</v>
      </c>
      <c r="O32" s="97">
        <f t="shared" si="8"/>
        <v>-3469.5180000000005</v>
      </c>
      <c r="P32" s="97">
        <f t="shared" si="8"/>
        <v>-2656.2260000000088</v>
      </c>
      <c r="Q32" s="97">
        <f t="shared" si="8"/>
        <v>-8655.664000000004</v>
      </c>
      <c r="R32" s="97">
        <f t="shared" si="8"/>
        <v>-19653.661999999997</v>
      </c>
      <c r="S32" s="97">
        <f t="shared" si="8"/>
        <v>-19318.01</v>
      </c>
      <c r="T32" s="97">
        <f t="shared" si="8"/>
        <v>-19054.74400000001</v>
      </c>
      <c r="U32" s="97">
        <f t="shared" si="8"/>
        <v>-33049.978</v>
      </c>
      <c r="V32" s="59"/>
      <c r="W32" s="88"/>
    </row>
    <row r="33" spans="1:23" ht="22.5" customHeight="1" hidden="1" thickBot="1">
      <c r="A33" s="91" t="s">
        <v>43</v>
      </c>
      <c r="B33" s="37" t="s">
        <v>25</v>
      </c>
      <c r="C33" s="44">
        <v>51695.42</v>
      </c>
      <c r="D33" s="92">
        <f>SUM(D8-D12,C33)</f>
        <v>58145.14999999998</v>
      </c>
      <c r="E33" s="60">
        <f>SUM(E8-E12,D33)</f>
        <v>101717.01000000002</v>
      </c>
      <c r="F33" s="60">
        <f>SUM(F8-F12,E33)</f>
        <v>150636.12999999995</v>
      </c>
      <c r="G33" s="93">
        <f>SUM(G32+F33)</f>
        <v>157687.756</v>
      </c>
      <c r="H33" s="93">
        <f>SUM(H32+G33)</f>
        <v>118939.20000000001</v>
      </c>
      <c r="I33" s="93">
        <f>SUM(I32+H33)</f>
        <v>109800.526</v>
      </c>
      <c r="J33" s="93">
        <f>SUM(J32+I33)</f>
        <v>113063.798</v>
      </c>
      <c r="K33" s="94">
        <f>SUM(K31+J33)</f>
        <v>117891.65999999999</v>
      </c>
      <c r="L33" s="94">
        <f aca="true" t="shared" si="9" ref="L33:T33">SUM(L31+K33)</f>
        <v>118657.16199999998</v>
      </c>
      <c r="M33" s="94">
        <f t="shared" si="9"/>
        <v>121156.69399999999</v>
      </c>
      <c r="N33" s="94">
        <f t="shared" si="9"/>
        <v>110169.88599999998</v>
      </c>
      <c r="O33" s="94">
        <f t="shared" si="9"/>
        <v>106331.00799999999</v>
      </c>
      <c r="P33" s="94">
        <f t="shared" si="9"/>
        <v>107144.29999999997</v>
      </c>
      <c r="Q33" s="94">
        <f t="shared" si="9"/>
        <v>101144.86199999998</v>
      </c>
      <c r="R33" s="94">
        <f t="shared" si="9"/>
        <v>90146.86399999999</v>
      </c>
      <c r="S33" s="94">
        <f t="shared" si="9"/>
        <v>90482.51599999999</v>
      </c>
      <c r="T33" s="94">
        <f t="shared" si="9"/>
        <v>90745.78199999998</v>
      </c>
      <c r="U33" s="94">
        <f>SUM(U31+T33)-0.01</f>
        <v>76750.53799999999</v>
      </c>
      <c r="V33" s="60"/>
      <c r="W33" s="69"/>
    </row>
    <row r="34" spans="1:23" ht="14.25" customHeight="1" hidden="1" thickBot="1">
      <c r="A34" s="40"/>
      <c r="B34" s="49"/>
      <c r="C34" s="44"/>
      <c r="D34" s="44"/>
      <c r="E34" s="70"/>
      <c r="F34" s="70"/>
      <c r="G34" s="70"/>
      <c r="H34" s="70"/>
      <c r="I34" s="70"/>
      <c r="J34" s="14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21"/>
      <c r="V34" s="59"/>
      <c r="W34" s="53"/>
    </row>
    <row r="35" spans="1:23" ht="17.25" customHeight="1" hidden="1" thickBot="1">
      <c r="A35" s="41"/>
      <c r="B35" s="37"/>
      <c r="C35" s="44"/>
      <c r="D35" s="44"/>
      <c r="E35" s="70"/>
      <c r="F35" s="70"/>
      <c r="G35" s="70"/>
      <c r="H35" s="70"/>
      <c r="I35" s="70"/>
      <c r="J35" s="14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21"/>
      <c r="V35" s="60"/>
      <c r="W35" s="54"/>
    </row>
    <row r="36" spans="1:23" ht="15" customHeight="1" hidden="1" thickBot="1">
      <c r="A36" s="41"/>
      <c r="B36" s="38"/>
      <c r="C36" s="45"/>
      <c r="D36" s="45"/>
      <c r="E36" s="71"/>
      <c r="F36" s="71"/>
      <c r="G36" s="71"/>
      <c r="H36" s="71"/>
      <c r="I36" s="71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7"/>
      <c r="V36" s="67"/>
      <c r="W36" s="55"/>
    </row>
    <row r="37" spans="1:23" ht="15" customHeight="1" hidden="1" thickBot="1">
      <c r="A37" s="50"/>
      <c r="B37" s="38"/>
      <c r="C37" s="45"/>
      <c r="D37" s="45"/>
      <c r="E37" s="71"/>
      <c r="F37" s="71"/>
      <c r="G37" s="71"/>
      <c r="H37" s="71"/>
      <c r="I37" s="71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7"/>
      <c r="V37" s="61"/>
      <c r="W37" s="55"/>
    </row>
    <row r="38" spans="2:23" ht="15" customHeight="1">
      <c r="B38" t="s">
        <v>64</v>
      </c>
      <c r="C38" s="23"/>
      <c r="D38" s="23"/>
      <c r="E38" s="23"/>
      <c r="F38" s="23"/>
      <c r="G38" s="23"/>
      <c r="H38" s="23"/>
      <c r="I38" s="23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5"/>
    </row>
    <row r="39" ht="15" customHeight="1"/>
    <row r="40" ht="13.5" customHeight="1"/>
    <row r="41" ht="11.25" customHeight="1"/>
    <row r="42" ht="13.5" customHeight="1"/>
    <row r="47" ht="12.75" customHeight="1"/>
    <row r="48" ht="12.75" customHeight="1"/>
  </sheetData>
  <sheetProtection/>
  <mergeCells count="5">
    <mergeCell ref="B4:W4"/>
    <mergeCell ref="B5:W5"/>
    <mergeCell ref="B3:W3"/>
    <mergeCell ref="B1:L1"/>
    <mergeCell ref="B2:S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2018-02-08T10:40:33Z</cp:lastPrinted>
  <dcterms:created xsi:type="dcterms:W3CDTF">2011-06-16T11:06:26Z</dcterms:created>
  <dcterms:modified xsi:type="dcterms:W3CDTF">2018-02-12T08:24:13Z</dcterms:modified>
  <cp:category/>
  <cp:version/>
  <cp:contentType/>
  <cp:contentStatus/>
</cp:coreProperties>
</file>