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<sst xmlns="http://schemas.openxmlformats.org/spreadsheetml/2006/main" count="73" uniqueCount="73">
  <si>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</si>
  <si>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</si>
  <si>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</si>
  <si>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</si>
  <si>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</si>
  <si>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</si>
  <si>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</si>
  <si>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</si>
  <si>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</si>
  <si>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</si>
  <si>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</si>
  <si>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</si>
  <si>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</si>
  <si>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</si>
  <si>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</si>
  <si>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</si>
  <si>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</si>
  <si>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</si>
  <si>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</si>
  <si>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</si>
  <si>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</si>
  <si>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</si>
  <si>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</si>
  <si>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</si>
  <si>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</si>
  <si>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</si>
  <si>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</si>
  <si>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</si>
  <si>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</si>
  <si>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</si>
  <si>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</si>
  <si>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</si>
  <si>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</si>
  <si>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</si>
  <si>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</si>
  <si>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</si>
  <si>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</si>
  <si>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</si>
  <si>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</si>
  <si>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6</t>
  </si>
  <si>
    <t>7</t>
  </si>
  <si>
    <t>8</t>
  </si>
  <si>
    <t>9</t>
  </si>
  <si>
    <t>10</t>
  </si>
  <si>
    <t>Финансовый результат по дому с начала года</t>
  </si>
  <si>
    <t>Благоустройство  территории</t>
  </si>
  <si>
    <t>11</t>
  </si>
  <si>
    <t>Результат за месяц</t>
  </si>
  <si>
    <t>Исполнитель /Викторова Л.С/</t>
  </si>
  <si>
    <t>4,12</t>
  </si>
  <si>
    <t>4.13</t>
  </si>
  <si>
    <t xml:space="preserve">Материалы </t>
  </si>
  <si>
    <t>4.14</t>
  </si>
  <si>
    <t>5</t>
  </si>
  <si>
    <t>4.15</t>
  </si>
  <si>
    <t>%  оплаты</t>
  </si>
  <si>
    <t>рентабельность 5%</t>
  </si>
  <si>
    <t>Итого за 2015</t>
  </si>
  <si>
    <t>Услуги сторонних орган.</t>
  </si>
  <si>
    <t>Дом по ул. Суворова  д. 17 вступил в ООО "Наш дом" с мая 2015 года                      тариф 11,5 руб</t>
  </si>
  <si>
    <t>по жилому дому г. Унеча ул. Суворова  д.17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</si>
  <si>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</si>
  <si>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</si>
  <si>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</si>
  <si>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 xml:space="preserve">Исполнитель вед. экономист Викторова Л.С. </t>
  </si>
  <si>
    <t>14385,49</t>
  </si>
  <si>
    <t>Итого за 2016</t>
  </si>
  <si>
    <t>20018,45</t>
  </si>
  <si>
    <t>Итого за 2017</t>
  </si>
  <si>
    <t>Всего за 2015-2017</t>
  </si>
  <si>
    <t>Начислено  СОИД</t>
  </si>
  <si>
    <t>4.6</t>
  </si>
  <si>
    <t>Электроэнергия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</si>
</sst>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7" xfId="0" applyFont="1" applyFill="1" applyBorder="1" applyAlignment="1">
      <alignment/>
    </xf>
    <xf numFmtId="0" fontId="20" fillId="2" borderId="24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1" fillId="0" borderId="27" xfId="0" applyFont="1" applyBorder="1" applyAlignment="1">
      <alignment horizontal="left" wrapText="1"/>
    </xf>
    <xf numFmtId="0" fontId="24" fillId="0" borderId="25" xfId="0" applyFont="1" applyBorder="1" applyAlignment="1">
      <alignment wrapText="1"/>
    </xf>
    <xf numFmtId="49" fontId="21" fillId="0" borderId="26" xfId="0" applyNumberFormat="1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2" borderId="29" xfId="0" applyFont="1" applyFill="1" applyBorder="1" applyAlignment="1">
      <alignment wrapText="1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21" fillId="0" borderId="33" xfId="0" applyFont="1" applyBorder="1" applyAlignment="1">
      <alignment wrapText="1"/>
    </xf>
    <xf numFmtId="49" fontId="0" fillId="0" borderId="34" xfId="0" applyNumberForma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2" borderId="25" xfId="0" applyFill="1" applyBorder="1" applyAlignment="1">
      <alignment/>
    </xf>
    <xf numFmtId="0" fontId="19" fillId="0" borderId="33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0" fillId="2" borderId="34" xfId="0" applyFont="1" applyFill="1" applyBorder="1" applyAlignment="1">
      <alignment/>
    </xf>
    <xf numFmtId="0" fontId="21" fillId="0" borderId="30" xfId="0" applyFont="1" applyBorder="1" applyAlignment="1">
      <alignment/>
    </xf>
    <xf numFmtId="1" fontId="20" fillId="0" borderId="38" xfId="0" applyNumberFormat="1" applyFont="1" applyBorder="1" applyAlignment="1">
      <alignment horizontal="center"/>
    </xf>
    <xf numFmtId="0" fontId="21" fillId="0" borderId="36" xfId="0" applyFont="1" applyBorder="1" applyAlignment="1">
      <alignment wrapText="1"/>
    </xf>
    <xf numFmtId="0" fontId="20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0" fillId="0" borderId="25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36" xfId="0" applyFont="1" applyBorder="1" applyAlignment="1">
      <alignment/>
    </xf>
    <xf numFmtId="2" fontId="21" fillId="0" borderId="44" xfId="0" applyNumberFormat="1" applyFont="1" applyBorder="1" applyAlignment="1">
      <alignment/>
    </xf>
    <xf numFmtId="0" fontId="21" fillId="2" borderId="24" xfId="0" applyFont="1" applyFill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1" fontId="21" fillId="0" borderId="31" xfId="0" applyNumberFormat="1" applyFont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49" fontId="21" fillId="0" borderId="37" xfId="0" applyNumberFormat="1" applyFont="1" applyBorder="1" applyAlignment="1">
      <alignment horizontal="right" wrapText="1"/>
    </xf>
    <xf numFmtId="0" fontId="21" fillId="0" borderId="31" xfId="0" applyFont="1" applyBorder="1" applyAlignment="1">
      <alignment horizontal="right" wrapText="1"/>
    </xf>
    <xf numFmtId="0" fontId="25" fillId="0" borderId="30" xfId="0" applyFont="1" applyBorder="1" applyAlignment="1">
      <alignment/>
    </xf>
    <xf numFmtId="1" fontId="25" fillId="0" borderId="38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/>
    </xf>
    <xf numFmtId="2" fontId="25" fillId="0" borderId="25" xfId="0" applyNumberFormat="1" applyFont="1" applyBorder="1" applyAlignment="1">
      <alignment/>
    </xf>
    <xf numFmtId="0" fontId="24" fillId="0" borderId="47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1" fontId="21" fillId="0" borderId="48" xfId="0" applyNumberFormat="1" applyFont="1" applyBorder="1" applyAlignment="1">
      <alignment horizontal="center"/>
    </xf>
    <xf numFmtId="0" fontId="21" fillId="0" borderId="44" xfId="0" applyFont="1" applyBorder="1" applyAlignment="1">
      <alignment/>
    </xf>
    <xf numFmtId="49" fontId="21" fillId="0" borderId="49" xfId="0" applyNumberFormat="1" applyFont="1" applyBorder="1" applyAlignment="1">
      <alignment horizontal="right" wrapText="1"/>
    </xf>
    <xf numFmtId="0" fontId="21" fillId="0" borderId="48" xfId="0" applyFont="1" applyBorder="1" applyAlignment="1">
      <alignment horizontal="right" wrapText="1"/>
    </xf>
    <xf numFmtId="0" fontId="21" fillId="0" borderId="48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51" xfId="0" applyFont="1" applyBorder="1" applyAlignment="1">
      <alignment wrapText="1"/>
    </xf>
    <xf numFmtId="2" fontId="21" fillId="0" borderId="51" xfId="0" applyNumberFormat="1" applyFont="1" applyBorder="1" applyAlignment="1">
      <alignment/>
    </xf>
    <xf numFmtId="0" fontId="21" fillId="0" borderId="5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7">
      <selection activeCell="E41" sqref="E41"/>
    </sheetView>
  </sheetViews>
  <sheetFormatPr defaultColWidth="9.00390625" defaultRowHeight="12.75"/>
  <cols>
    <col min="1" max="1" width="3.25390625" style="25" customWidth="1"/>
    <col min="2" max="2" width="20.875" style="0" customWidth="1"/>
    <col min="3" max="3" width="11.125" style="0" hidden="1" customWidth="1"/>
    <col min="4" max="4" width="8.625" style="0" hidden="1" customWidth="1"/>
    <col min="5" max="5" width="8.875" style="0" customWidth="1"/>
    <col min="6" max="6" width="8.25390625" style="0" customWidth="1"/>
    <col min="7" max="7" width="8.00390625" style="0" customWidth="1"/>
    <col min="8" max="8" width="8.625" style="0" customWidth="1"/>
    <col min="9" max="9" width="8.875" style="0" customWidth="1"/>
    <col min="10" max="10" width="8.625" style="0" customWidth="1"/>
    <col min="11" max="11" width="9.125" style="0" customWidth="1"/>
    <col min="12" max="12" width="8.375" style="0" customWidth="1"/>
    <col min="13" max="13" width="8.25390625" style="0" customWidth="1"/>
    <col min="14" max="15" width="8.75390625" style="0" customWidth="1"/>
    <col min="16" max="16" width="8.625" style="0" customWidth="1"/>
    <col min="17" max="17" width="10.875" style="0" customWidth="1"/>
    <col min="18" max="18" width="9.375" style="0" hidden="1" customWidth="1"/>
  </cols>
  <sheetData>
    <row r="1" spans="2:23" ht="12.75" customHeight="1">
      <c r="B1" s="96" t="s">
        <v>8</v>
      </c>
      <c r="C1" s="96"/>
      <c r="D1" s="96"/>
      <c r="E1" s="96"/>
      <c r="F1" s="96"/>
      <c r="G1" s="9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2.75" customHeight="1">
      <c r="B2" s="96" t="s">
        <v>59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97"/>
      <c r="Q2" s="97"/>
      <c r="R2" s="4"/>
      <c r="S2" s="4"/>
      <c r="T2" s="4"/>
      <c r="U2" s="4"/>
      <c r="V2" s="4"/>
      <c r="W2" s="4"/>
    </row>
    <row r="3" spans="2:23" ht="12.75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3"/>
      <c r="T3" s="3"/>
      <c r="U3" s="3"/>
      <c r="V3" s="3"/>
      <c r="W3" s="3"/>
    </row>
    <row r="4" spans="2:23" ht="21.75" customHeight="1">
      <c r="B4" s="94" t="s">
        <v>10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2"/>
      <c r="T4" s="2"/>
      <c r="U4" s="2"/>
      <c r="V4" s="2"/>
      <c r="W4" s="2"/>
    </row>
    <row r="5" spans="2:23" ht="15.75" customHeight="1" thickBot="1">
      <c r="B5" s="94" t="s">
        <v>60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2"/>
      <c r="T5" s="2"/>
      <c r="U5" s="2"/>
      <c r="V5" s="2"/>
      <c r="W5" s="2"/>
    </row>
    <row r="6" spans="2:23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</row>
    <row r="7" spans="1:23" ht="32.25" customHeight="1" thickBot="1">
      <c r="A7" s="36" t="s">
        <v>26</v>
      </c>
      <c r="B7" s="26" t="s">
        <v>7</v>
      </c>
      <c r="C7" s="46" t="s">
        <v>57</v>
      </c>
      <c r="D7" s="46" t="s">
        <v>66</v>
      </c>
      <c r="E7" s="6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22</v>
      </c>
      <c r="P7" s="15" t="s">
        <v>21</v>
      </c>
      <c r="Q7" s="46" t="s">
        <v>68</v>
      </c>
      <c r="R7" s="42" t="s">
        <v>69</v>
      </c>
      <c r="S7" s="1"/>
      <c r="T7" s="1"/>
      <c r="U7" s="1"/>
      <c r="V7" s="1"/>
      <c r="W7" s="1"/>
    </row>
    <row r="8" spans="1:18" ht="13.5" thickBot="1">
      <c r="A8" s="37" t="s">
        <v>27</v>
      </c>
      <c r="B8" s="27" t="s">
        <v>1</v>
      </c>
      <c r="C8" s="78">
        <v>59490.88</v>
      </c>
      <c r="D8" s="90">
        <v>89236.32</v>
      </c>
      <c r="E8" s="7">
        <v>7436.36</v>
      </c>
      <c r="F8" s="8">
        <v>7436.36</v>
      </c>
      <c r="G8" s="8">
        <v>7436.36</v>
      </c>
      <c r="H8" s="8">
        <v>7436.36</v>
      </c>
      <c r="I8" s="8">
        <v>7436.36</v>
      </c>
      <c r="J8" s="8">
        <v>7436.36</v>
      </c>
      <c r="K8" s="8">
        <v>7436.36</v>
      </c>
      <c r="L8" s="8">
        <v>7436.36</v>
      </c>
      <c r="M8" s="8">
        <v>7436.36</v>
      </c>
      <c r="N8" s="8">
        <v>7436.36</v>
      </c>
      <c r="O8" s="8">
        <v>7545.61</v>
      </c>
      <c r="P8" s="8">
        <v>7545.61</v>
      </c>
      <c r="Q8" s="51">
        <f>SUM(E8:P8)</f>
        <v>89454.81999999999</v>
      </c>
      <c r="R8" s="74">
        <f>SUM(C8:P8)</f>
        <v>238182.01999999984</v>
      </c>
    </row>
    <row r="9" spans="1:18" ht="13.5" thickBot="1">
      <c r="A9" s="37"/>
      <c r="B9" s="27" t="s">
        <v>70</v>
      </c>
      <c r="C9" s="92"/>
      <c r="D9" s="93"/>
      <c r="E9" s="7">
        <f>334.86+14.86</f>
        <v>349.72</v>
      </c>
      <c r="F9" s="8">
        <f>334.86+14.85</f>
        <v>349.71000000000004</v>
      </c>
      <c r="G9" s="8">
        <f>334.86+14.85</f>
        <v>349.71000000000004</v>
      </c>
      <c r="H9" s="8">
        <f>334.86+19.22</f>
        <v>354.08000000000004</v>
      </c>
      <c r="I9" s="8">
        <f>334.86+19.22</f>
        <v>354.08000000000004</v>
      </c>
      <c r="J9" s="8">
        <f>839.82+37.21+22.37</f>
        <v>899.4000000000001</v>
      </c>
      <c r="K9" s="8">
        <f>880.92+38+22.66</f>
        <v>941.5799999999999</v>
      </c>
      <c r="L9" s="8">
        <f>880.92+38+22.66</f>
        <v>941.5799999999999</v>
      </c>
      <c r="M9" s="8">
        <f>880.92+38+22.66</f>
        <v>941.5799999999999</v>
      </c>
      <c r="N9" s="8">
        <f>880.92+38+22.66</f>
        <v>941.5799999999999</v>
      </c>
      <c r="O9" s="8">
        <f>880.92+38.01+22.67</f>
        <v>941.5999999999999</v>
      </c>
      <c r="P9" s="8">
        <f>880.92+38.01+22.67</f>
        <v>941.5999999999999</v>
      </c>
      <c r="Q9" s="51">
        <f>SUM(E9:P9)</f>
        <v>8306.220000000001</v>
      </c>
      <c r="R9" s="74">
        <f>SUM(C9:P9)</f>
        <v>8306.220000000001</v>
      </c>
    </row>
    <row r="10" spans="1:18" ht="12.75">
      <c r="A10" s="37" t="s">
        <v>28</v>
      </c>
      <c r="B10" s="28" t="s">
        <v>2</v>
      </c>
      <c r="C10" s="79">
        <v>43613.78</v>
      </c>
      <c r="D10" s="91">
        <v>77636.89</v>
      </c>
      <c r="E10" s="9">
        <v>5760.33</v>
      </c>
      <c r="F10" s="10">
        <v>6020.65</v>
      </c>
      <c r="G10" s="10">
        <v>9667.68</v>
      </c>
      <c r="H10" s="10">
        <v>6020.65</v>
      </c>
      <c r="I10" s="10">
        <v>7775.08</v>
      </c>
      <c r="J10" s="10">
        <v>5609.36</v>
      </c>
      <c r="K10" s="10">
        <v>7543.89</v>
      </c>
      <c r="L10" s="10">
        <v>7153.82</v>
      </c>
      <c r="M10" s="10">
        <v>5709.77</v>
      </c>
      <c r="N10" s="10">
        <v>7438.38</v>
      </c>
      <c r="O10" s="10">
        <v>5709.77</v>
      </c>
      <c r="P10" s="17">
        <v>6431.24</v>
      </c>
      <c r="Q10" s="47">
        <f>SUM(E10:P10)</f>
        <v>80840.62000000001</v>
      </c>
      <c r="R10" s="74">
        <f>SUM(C10:P10)</f>
        <v>202091.28999999995</v>
      </c>
    </row>
    <row r="11" spans="1:18" ht="13.5" customHeight="1" thickBot="1">
      <c r="A11" s="37" t="s">
        <v>29</v>
      </c>
      <c r="B11" s="29" t="s">
        <v>55</v>
      </c>
      <c r="C11" s="80">
        <f>SUM(C10/C8*100)</f>
        <v>73.31170760963698</v>
      </c>
      <c r="D11" s="69">
        <f>SUM(D10/D8*100)</f>
        <v>87.00144739272079</v>
      </c>
      <c r="E11" s="20">
        <f>SUM(E10/E8*100)</f>
        <v>77.46168824532432</v>
      </c>
      <c r="F11" s="20">
        <f aca="true" t="shared" si="0" ref="F11:P11">SUM(F10/F8*100)</f>
        <v>80.96232565394898</v>
      </c>
      <c r="G11" s="20">
        <f t="shared" si="0"/>
        <v>130.00554034500752</v>
      </c>
      <c r="H11" s="20">
        <f t="shared" si="0"/>
        <v>80.96232565394898</v>
      </c>
      <c r="I11" s="20">
        <f t="shared" si="0"/>
        <v>104.55491665277098</v>
      </c>
      <c r="J11" s="20">
        <f t="shared" si="0"/>
        <v>75.4315283283757</v>
      </c>
      <c r="K11" s="20">
        <f t="shared" si="0"/>
        <v>101.44600315207978</v>
      </c>
      <c r="L11" s="20">
        <f t="shared" si="0"/>
        <v>96.20056048927164</v>
      </c>
      <c r="M11" s="20">
        <f t="shared" si="0"/>
        <v>76.78178571236465</v>
      </c>
      <c r="N11" s="20">
        <f t="shared" si="0"/>
        <v>100.02716382746397</v>
      </c>
      <c r="O11" s="20">
        <f t="shared" si="0"/>
        <v>75.67009161618479</v>
      </c>
      <c r="P11" s="41">
        <f t="shared" si="0"/>
        <v>85.23154522961033</v>
      </c>
      <c r="Q11" s="52">
        <f>SUM(Q10/Q8*100)</f>
        <v>90.37033443251019</v>
      </c>
      <c r="R11" s="75">
        <f>SUM(R10/R8*100)</f>
        <v>84.8474162743267</v>
      </c>
    </row>
    <row r="12" spans="1:18" ht="13.5" thickBot="1">
      <c r="A12" s="37" t="s">
        <v>30</v>
      </c>
      <c r="B12" s="30" t="s">
        <v>3</v>
      </c>
      <c r="C12" s="81">
        <v>53747.66</v>
      </c>
      <c r="D12" s="48">
        <v>69620.89</v>
      </c>
      <c r="E12" s="12">
        <f>SUM(E13:E23)</f>
        <v>6506.570000000001</v>
      </c>
      <c r="F12" s="12">
        <f>SUM(F13:F23)</f>
        <v>5843.78</v>
      </c>
      <c r="G12" s="12">
        <f>SUM(G13:G23)</f>
        <v>6448.92</v>
      </c>
      <c r="H12" s="12">
        <f>SUM(H13:H23)</f>
        <v>5997.72</v>
      </c>
      <c r="I12" s="12">
        <f>SUM(I13:I23)</f>
        <v>6241.880000000001</v>
      </c>
      <c r="J12" s="12">
        <f aca="true" t="shared" si="1" ref="J12:P12">SUM(J13:J23)</f>
        <v>6487.9</v>
      </c>
      <c r="K12" s="12">
        <f t="shared" si="1"/>
        <v>6914.819999999999</v>
      </c>
      <c r="L12" s="12">
        <f t="shared" si="1"/>
        <v>6820.62</v>
      </c>
      <c r="M12" s="12">
        <f t="shared" si="1"/>
        <v>7130.950000000001</v>
      </c>
      <c r="N12" s="12">
        <f t="shared" si="1"/>
        <v>6675.29</v>
      </c>
      <c r="O12" s="12">
        <f t="shared" si="1"/>
        <v>6776.48</v>
      </c>
      <c r="P12" s="12">
        <f t="shared" si="1"/>
        <v>6501.17</v>
      </c>
      <c r="Q12" s="48">
        <f>SUM(E12:P12)</f>
        <v>78346.1</v>
      </c>
      <c r="R12" s="76">
        <v>68665.16</v>
      </c>
    </row>
    <row r="13" spans="1:18" ht="13.5" thickBot="1">
      <c r="A13" s="37" t="s">
        <v>31</v>
      </c>
      <c r="B13" s="31" t="s">
        <v>5</v>
      </c>
      <c r="C13" s="82" t="s">
        <v>65</v>
      </c>
      <c r="D13" s="72" t="s">
        <v>67</v>
      </c>
      <c r="E13" s="7">
        <f>1590+19.9</f>
        <v>1609.9</v>
      </c>
      <c r="F13" s="8">
        <f>1590+93.53</f>
        <v>1683.53</v>
      </c>
      <c r="G13" s="8">
        <f>1590+54.92</f>
        <v>1644.92</v>
      </c>
      <c r="H13" s="8">
        <f>1590+174.05</f>
        <v>1764.05</v>
      </c>
      <c r="I13" s="8">
        <f>1590+86.88</f>
        <v>1676.88</v>
      </c>
      <c r="J13" s="8">
        <f>1590+53.11</f>
        <v>1643.11</v>
      </c>
      <c r="K13" s="8">
        <f>1590+83.66</f>
        <v>1673.66</v>
      </c>
      <c r="L13" s="8">
        <f>1590+97.28</f>
        <v>1687.28</v>
      </c>
      <c r="M13" s="8">
        <f>1590+100.62</f>
        <v>1690.62</v>
      </c>
      <c r="N13" s="8">
        <f>1590+104.6</f>
        <v>1694.6</v>
      </c>
      <c r="O13" s="8">
        <f>1590+91.41</f>
        <v>1681.41</v>
      </c>
      <c r="P13" s="16">
        <f>1537+88.81</f>
        <v>1625.81</v>
      </c>
      <c r="Q13" s="48">
        <f aca="true" t="shared" si="2" ref="Q13:Q25">SUM(E13:P13)</f>
        <v>20075.77</v>
      </c>
      <c r="R13" s="74">
        <v>17782.63</v>
      </c>
    </row>
    <row r="14" spans="1:18" ht="17.25" customHeight="1" thickBot="1">
      <c r="A14" s="37" t="s">
        <v>32</v>
      </c>
      <c r="B14" s="32" t="s">
        <v>58</v>
      </c>
      <c r="C14" s="83">
        <v>2214.15</v>
      </c>
      <c r="D14" s="73">
        <v>53.1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7"/>
      <c r="Q14" s="48">
        <f>SUM(E14:P14)</f>
        <v>0</v>
      </c>
      <c r="R14" s="74">
        <f aca="true" t="shared" si="3" ref="R14:R23">SUM(C14:P14)</f>
        <v>2267.25</v>
      </c>
    </row>
    <row r="15" spans="1:18" ht="18" customHeight="1" thickBot="1">
      <c r="A15" s="37" t="s">
        <v>33</v>
      </c>
      <c r="B15" s="29" t="s">
        <v>6</v>
      </c>
      <c r="C15" s="83">
        <v>4495.2</v>
      </c>
      <c r="D15" s="73">
        <v>0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7"/>
      <c r="Q15" s="48">
        <f t="shared" si="2"/>
        <v>0</v>
      </c>
      <c r="R15" s="74">
        <f t="shared" si="3"/>
        <v>4495.2</v>
      </c>
    </row>
    <row r="16" spans="1:18" ht="15.75" customHeight="1" thickBot="1">
      <c r="A16" s="37" t="s">
        <v>34</v>
      </c>
      <c r="B16" s="32" t="s">
        <v>51</v>
      </c>
      <c r="C16" s="84">
        <v>42.9</v>
      </c>
      <c r="D16" s="67">
        <v>1036.23</v>
      </c>
      <c r="E16" s="9">
        <v>245</v>
      </c>
      <c r="F16" s="10">
        <v>100</v>
      </c>
      <c r="G16" s="10">
        <v>364.72</v>
      </c>
      <c r="H16" s="10"/>
      <c r="I16" s="10"/>
      <c r="J16" s="10"/>
      <c r="K16" s="10"/>
      <c r="L16" s="10">
        <v>95</v>
      </c>
      <c r="M16" s="10">
        <v>570</v>
      </c>
      <c r="N16" s="10"/>
      <c r="O16" s="10"/>
      <c r="P16" s="17"/>
      <c r="Q16" s="48">
        <f t="shared" si="2"/>
        <v>1374.72</v>
      </c>
      <c r="R16" s="74">
        <f t="shared" si="3"/>
        <v>2453.8500000000004</v>
      </c>
    </row>
    <row r="17" spans="1:18" ht="15.75" customHeight="1" thickBot="1">
      <c r="A17" s="37" t="s">
        <v>71</v>
      </c>
      <c r="B17" s="32" t="s">
        <v>72</v>
      </c>
      <c r="C17" s="84"/>
      <c r="D17" s="67"/>
      <c r="E17" s="9">
        <v>334.86</v>
      </c>
      <c r="F17" s="10">
        <v>334.86</v>
      </c>
      <c r="G17" s="10">
        <v>334.86</v>
      </c>
      <c r="H17" s="10">
        <v>334.86</v>
      </c>
      <c r="I17" s="10">
        <v>334.86</v>
      </c>
      <c r="J17" s="10">
        <v>839.82</v>
      </c>
      <c r="K17" s="10">
        <v>880.92</v>
      </c>
      <c r="L17" s="10">
        <v>880.92</v>
      </c>
      <c r="M17" s="10">
        <v>880.92</v>
      </c>
      <c r="N17" s="10">
        <v>880.92</v>
      </c>
      <c r="O17" s="10">
        <v>880.92</v>
      </c>
      <c r="P17" s="17">
        <v>880.92</v>
      </c>
      <c r="Q17" s="48">
        <f>SUM(E17:P17)</f>
        <v>7799.64</v>
      </c>
      <c r="R17" s="74">
        <f>SUM(C17:P17)</f>
        <v>7799.64</v>
      </c>
    </row>
    <row r="18" spans="1:18" ht="22.5" customHeight="1" thickBot="1">
      <c r="A18" s="37" t="s">
        <v>35</v>
      </c>
      <c r="B18" s="32" t="s">
        <v>45</v>
      </c>
      <c r="C18" s="84">
        <v>0</v>
      </c>
      <c r="D18" s="67">
        <v>51</v>
      </c>
      <c r="E18" s="9">
        <v>268.15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7">
        <v>50.09</v>
      </c>
      <c r="Q18" s="48">
        <f t="shared" si="2"/>
        <v>318.24</v>
      </c>
      <c r="R18" s="74">
        <f t="shared" si="3"/>
        <v>369.24</v>
      </c>
    </row>
    <row r="19" spans="1:18" ht="34.5" customHeight="1" thickBot="1">
      <c r="A19" s="37" t="s">
        <v>36</v>
      </c>
      <c r="B19" s="32" t="s">
        <v>61</v>
      </c>
      <c r="C19" s="84">
        <v>2127.51</v>
      </c>
      <c r="D19" s="67">
        <v>3286.35</v>
      </c>
      <c r="E19" s="9">
        <v>278.25</v>
      </c>
      <c r="F19" s="10">
        <v>260.17</v>
      </c>
      <c r="G19" s="10">
        <v>323.43</v>
      </c>
      <c r="H19" s="10">
        <v>240.37</v>
      </c>
      <c r="I19" s="10">
        <v>255.99</v>
      </c>
      <c r="J19" s="10">
        <v>287.88</v>
      </c>
      <c r="K19" s="10">
        <v>233.32</v>
      </c>
      <c r="L19" s="10">
        <v>269.87</v>
      </c>
      <c r="M19" s="10">
        <v>253.84</v>
      </c>
      <c r="N19" s="10">
        <v>323.87</v>
      </c>
      <c r="O19" s="10">
        <v>339.92</v>
      </c>
      <c r="P19" s="17">
        <v>280.9</v>
      </c>
      <c r="Q19" s="48">
        <f t="shared" si="2"/>
        <v>3347.8100000000004</v>
      </c>
      <c r="R19" s="74">
        <f t="shared" si="3"/>
        <v>8761.67</v>
      </c>
    </row>
    <row r="20" spans="1:18" ht="27.75" customHeight="1" thickBot="1">
      <c r="A20" s="37" t="s">
        <v>37</v>
      </c>
      <c r="B20" s="32" t="s">
        <v>62</v>
      </c>
      <c r="C20" s="84">
        <v>368.5</v>
      </c>
      <c r="D20" s="67">
        <v>467.52</v>
      </c>
      <c r="E20" s="9">
        <v>61.15</v>
      </c>
      <c r="F20" s="10">
        <v>18.81</v>
      </c>
      <c r="G20" s="10">
        <v>20.19</v>
      </c>
      <c r="H20" s="10">
        <v>18.68</v>
      </c>
      <c r="I20" s="10">
        <v>18.12</v>
      </c>
      <c r="J20" s="10">
        <v>28.18</v>
      </c>
      <c r="K20" s="10">
        <v>26.47</v>
      </c>
      <c r="L20" s="10">
        <v>81.5</v>
      </c>
      <c r="M20" s="10">
        <v>19.02</v>
      </c>
      <c r="N20" s="10">
        <v>28.13</v>
      </c>
      <c r="O20" s="10">
        <v>19.3</v>
      </c>
      <c r="P20" s="17">
        <v>26.31</v>
      </c>
      <c r="Q20" s="48">
        <f t="shared" si="2"/>
        <v>365.86</v>
      </c>
      <c r="R20" s="74">
        <f t="shared" si="3"/>
        <v>1201.8799999999999</v>
      </c>
    </row>
    <row r="21" spans="1:18" ht="39" customHeight="1" thickBot="1">
      <c r="A21" s="37" t="s">
        <v>38</v>
      </c>
      <c r="B21" s="32" t="s">
        <v>63</v>
      </c>
      <c r="C21" s="84">
        <v>2657.49</v>
      </c>
      <c r="D21" s="67">
        <v>3419.75</v>
      </c>
      <c r="E21" s="9">
        <f>12.26+85.42+139.83</f>
        <v>237.51000000000002</v>
      </c>
      <c r="F21" s="10">
        <f>12.21+101.22+85.74</f>
        <v>199.17000000000002</v>
      </c>
      <c r="G21" s="10">
        <f>12.03+112.5+150.59</f>
        <v>275.12</v>
      </c>
      <c r="H21" s="10">
        <f>11.35+103.12+144.95</f>
        <v>259.41999999999996</v>
      </c>
      <c r="I21" s="10">
        <f>11.66+125.05+354.6</f>
        <v>491.31000000000006</v>
      </c>
      <c r="J21" s="10">
        <f>172.29+13.68+102.4</f>
        <v>288.37</v>
      </c>
      <c r="K21" s="10">
        <f>14.97+90.12+180.9</f>
        <v>285.99</v>
      </c>
      <c r="L21" s="10">
        <f>16.23+83.16+191.77</f>
        <v>291.16</v>
      </c>
      <c r="M21" s="10">
        <f>164.64+13.05+105.46</f>
        <v>283.15</v>
      </c>
      <c r="N21" s="10">
        <f>16.76+119.19+173.87</f>
        <v>309.82</v>
      </c>
      <c r="O21" s="10">
        <f>15.61+140.93+278.48</f>
        <v>435.02000000000004</v>
      </c>
      <c r="P21" s="17">
        <f>16.08+142+118.15</f>
        <v>276.23</v>
      </c>
      <c r="Q21" s="48">
        <f t="shared" si="2"/>
        <v>3632.2700000000004</v>
      </c>
      <c r="R21" s="74">
        <f t="shared" si="3"/>
        <v>9709.51</v>
      </c>
    </row>
    <row r="22" spans="1:18" ht="18.75" customHeight="1" thickBot="1">
      <c r="A22" s="37" t="s">
        <v>49</v>
      </c>
      <c r="B22" s="32" t="s">
        <v>9</v>
      </c>
      <c r="C22" s="84">
        <v>25809.56</v>
      </c>
      <c r="D22" s="67">
        <v>38356.91</v>
      </c>
      <c r="E22" s="9">
        <f>6506.57-3252.33</f>
        <v>3254.24</v>
      </c>
      <c r="F22" s="10">
        <f>5843.78-2823.88</f>
        <v>3019.8999999999996</v>
      </c>
      <c r="G22" s="10">
        <f>6448.92-3328.29</f>
        <v>3120.63</v>
      </c>
      <c r="H22" s="10">
        <f>5997.72-2844.72</f>
        <v>3153.0000000000005</v>
      </c>
      <c r="I22" s="10">
        <f>6241.88-3070.74</f>
        <v>3171.1400000000003</v>
      </c>
      <c r="J22" s="10">
        <f>6487.9-3299.17</f>
        <v>3188.7299999999996</v>
      </c>
      <c r="K22" s="10">
        <f>6914.82-3385.22</f>
        <v>3529.6</v>
      </c>
      <c r="L22" s="10">
        <f>6820.62-3575.86</f>
        <v>3244.7599999999998</v>
      </c>
      <c r="M22" s="10">
        <f>7130.95-3913.15</f>
        <v>3217.7999999999997</v>
      </c>
      <c r="N22" s="10">
        <f>6675.29-3518.22</f>
        <v>3157.07</v>
      </c>
      <c r="O22" s="10">
        <f>6776.48-3572.17</f>
        <v>3204.3099999999995</v>
      </c>
      <c r="P22" s="17">
        <f>6501.17-3383.1</f>
        <v>3118.07</v>
      </c>
      <c r="Q22" s="48">
        <f t="shared" si="2"/>
        <v>38379.24999999999</v>
      </c>
      <c r="R22" s="74">
        <f t="shared" si="3"/>
        <v>102545.72000000002</v>
      </c>
    </row>
    <row r="23" spans="1:18" ht="13.5" thickBot="1">
      <c r="A23" s="37" t="s">
        <v>50</v>
      </c>
      <c r="B23" s="33" t="s">
        <v>4</v>
      </c>
      <c r="C23" s="85">
        <v>1646.86</v>
      </c>
      <c r="D23" s="68">
        <v>2931.58</v>
      </c>
      <c r="E23" s="70">
        <v>217.51</v>
      </c>
      <c r="F23" s="71">
        <f>10.33+217.01</f>
        <v>227.34</v>
      </c>
      <c r="G23" s="71">
        <f>10.35+354.7</f>
        <v>365.05</v>
      </c>
      <c r="H23" s="71">
        <f>10.33+217.01</f>
        <v>227.34</v>
      </c>
      <c r="I23" s="11">
        <f>12.29+281.29</f>
        <v>293.58000000000004</v>
      </c>
      <c r="J23" s="11">
        <f>9.11+202.7</f>
        <v>211.81</v>
      </c>
      <c r="K23" s="11">
        <f>28.84+256.02</f>
        <v>284.85999999999996</v>
      </c>
      <c r="L23" s="11">
        <f>28.13+242</f>
        <v>270.13</v>
      </c>
      <c r="M23" s="11">
        <f>24.23+191.37</f>
        <v>215.6</v>
      </c>
      <c r="N23" s="11">
        <f>31.57+249.31</f>
        <v>280.88</v>
      </c>
      <c r="O23" s="11">
        <f>24.23+191.37</f>
        <v>215.6</v>
      </c>
      <c r="P23" s="18">
        <f>27.42+215.42</f>
        <v>242.83999999999997</v>
      </c>
      <c r="Q23" s="48">
        <f t="shared" si="2"/>
        <v>3052.54</v>
      </c>
      <c r="R23" s="74">
        <f t="shared" si="3"/>
        <v>7630.980000000001</v>
      </c>
    </row>
    <row r="24" spans="1:18" ht="15.75" customHeight="1" thickBot="1">
      <c r="A24" s="37" t="s">
        <v>52</v>
      </c>
      <c r="B24" s="39" t="s">
        <v>56</v>
      </c>
      <c r="C24" s="65">
        <f aca="true" t="shared" si="4" ref="C24:H24">C8*5%</f>
        <v>2974.544</v>
      </c>
      <c r="D24" s="56">
        <f t="shared" si="4"/>
        <v>4461.816000000001</v>
      </c>
      <c r="E24" s="55">
        <f t="shared" si="4"/>
        <v>371.818</v>
      </c>
      <c r="F24" s="55">
        <f t="shared" si="4"/>
        <v>371.818</v>
      </c>
      <c r="G24" s="55">
        <f t="shared" si="4"/>
        <v>371.818</v>
      </c>
      <c r="H24" s="55">
        <f t="shared" si="4"/>
        <v>371.818</v>
      </c>
      <c r="I24" s="55">
        <f aca="true" t="shared" si="5" ref="I24:P24">I8*5%</f>
        <v>371.818</v>
      </c>
      <c r="J24" s="55">
        <f t="shared" si="5"/>
        <v>371.818</v>
      </c>
      <c r="K24" s="55">
        <f t="shared" si="5"/>
        <v>371.818</v>
      </c>
      <c r="L24" s="55">
        <f t="shared" si="5"/>
        <v>371.818</v>
      </c>
      <c r="M24" s="55">
        <f t="shared" si="5"/>
        <v>371.818</v>
      </c>
      <c r="N24" s="55">
        <f t="shared" si="5"/>
        <v>371.818</v>
      </c>
      <c r="O24" s="55">
        <f t="shared" si="5"/>
        <v>377.2805</v>
      </c>
      <c r="P24" s="55">
        <f t="shared" si="5"/>
        <v>377.2805</v>
      </c>
      <c r="Q24" s="56">
        <f t="shared" si="2"/>
        <v>4472.741</v>
      </c>
      <c r="R24" s="76"/>
    </row>
    <row r="25" spans="1:18" ht="13.5" customHeight="1" thickBot="1">
      <c r="A25" s="37" t="s">
        <v>54</v>
      </c>
      <c r="B25" s="53" t="s">
        <v>47</v>
      </c>
      <c r="C25" s="86"/>
      <c r="D25" s="89"/>
      <c r="E25" s="57">
        <f>SUM(E8+E9-E12)-E24</f>
        <v>907.6919999999993</v>
      </c>
      <c r="F25" s="57">
        <f aca="true" t="shared" si="6" ref="F25:P25">SUM(F8+F9-F12)-F24</f>
        <v>1570.472</v>
      </c>
      <c r="G25" s="57">
        <f t="shared" si="6"/>
        <v>965.3319999999997</v>
      </c>
      <c r="H25" s="57">
        <f t="shared" si="6"/>
        <v>1420.9019999999994</v>
      </c>
      <c r="I25" s="57">
        <f t="shared" si="6"/>
        <v>1176.7419999999986</v>
      </c>
      <c r="J25" s="57">
        <f t="shared" si="6"/>
        <v>1476.0420000000006</v>
      </c>
      <c r="K25" s="57">
        <f t="shared" si="6"/>
        <v>1091.302</v>
      </c>
      <c r="L25" s="57">
        <f t="shared" si="6"/>
        <v>1185.5019999999988</v>
      </c>
      <c r="M25" s="57">
        <f t="shared" si="6"/>
        <v>875.171999999998</v>
      </c>
      <c r="N25" s="57">
        <f t="shared" si="6"/>
        <v>1330.8319999999987</v>
      </c>
      <c r="O25" s="57">
        <f t="shared" si="6"/>
        <v>1333.4494999999995</v>
      </c>
      <c r="P25" s="57">
        <f t="shared" si="6"/>
        <v>1608.759499999999</v>
      </c>
      <c r="Q25" s="56">
        <f t="shared" si="2"/>
        <v>14942.19899999999</v>
      </c>
      <c r="R25" s="76"/>
    </row>
    <row r="26" spans="1:18" ht="23.25" customHeight="1" thickBot="1">
      <c r="A26" s="37"/>
      <c r="B26" s="39" t="s">
        <v>23</v>
      </c>
      <c r="C26" s="87">
        <f>SUM(C8-C12)-C24</f>
        <v>2768.675999999994</v>
      </c>
      <c r="D26" s="56">
        <f>SUM(D8-D12)-D24</f>
        <v>15153.614000000007</v>
      </c>
      <c r="E26" s="55">
        <f>SUM(E8+E9-E12)-E24</f>
        <v>907.6919999999993</v>
      </c>
      <c r="F26" s="60">
        <f>SUM(F25+E26)</f>
        <v>2478.1639999999993</v>
      </c>
      <c r="G26" s="60">
        <f aca="true" t="shared" si="7" ref="G26:P26">SUM(G25+F26)</f>
        <v>3443.495999999999</v>
      </c>
      <c r="H26" s="60">
        <f t="shared" si="7"/>
        <v>4864.397999999998</v>
      </c>
      <c r="I26" s="60">
        <f t="shared" si="7"/>
        <v>6041.139999999997</v>
      </c>
      <c r="J26" s="60">
        <f t="shared" si="7"/>
        <v>7517.181999999997</v>
      </c>
      <c r="K26" s="60">
        <f t="shared" si="7"/>
        <v>8608.483999999997</v>
      </c>
      <c r="L26" s="60">
        <f t="shared" si="7"/>
        <v>9793.985999999995</v>
      </c>
      <c r="M26" s="60">
        <f t="shared" si="7"/>
        <v>10669.157999999994</v>
      </c>
      <c r="N26" s="60">
        <f t="shared" si="7"/>
        <v>11999.989999999993</v>
      </c>
      <c r="O26" s="60">
        <f t="shared" si="7"/>
        <v>13333.439499999991</v>
      </c>
      <c r="P26" s="60">
        <f t="shared" si="7"/>
        <v>14942.19899999999</v>
      </c>
      <c r="Q26" s="56"/>
      <c r="R26" s="77"/>
    </row>
    <row r="27" spans="1:18" ht="30.75" customHeight="1" hidden="1" thickBot="1">
      <c r="A27" s="37" t="s">
        <v>53</v>
      </c>
      <c r="B27" s="34" t="s">
        <v>24</v>
      </c>
      <c r="C27" s="88">
        <v>2768.68</v>
      </c>
      <c r="D27" s="56">
        <f>SUM(D26+C27)</f>
        <v>17922.294000000005</v>
      </c>
      <c r="E27" s="56">
        <f>SUM(E26+D27)</f>
        <v>18829.986000000004</v>
      </c>
      <c r="F27" s="60">
        <f>SUM(F25+E27)</f>
        <v>20400.458000000006</v>
      </c>
      <c r="G27" s="60">
        <f aca="true" t="shared" si="8" ref="G27:O27">SUM(G25+F27)</f>
        <v>21365.790000000005</v>
      </c>
      <c r="H27" s="60">
        <f t="shared" si="8"/>
        <v>22786.692000000003</v>
      </c>
      <c r="I27" s="60">
        <f t="shared" si="8"/>
        <v>23963.434</v>
      </c>
      <c r="J27" s="60">
        <f t="shared" si="8"/>
        <v>25439.476000000002</v>
      </c>
      <c r="K27" s="60">
        <f t="shared" si="8"/>
        <v>26530.778000000002</v>
      </c>
      <c r="L27" s="60">
        <f t="shared" si="8"/>
        <v>27716.280000000002</v>
      </c>
      <c r="M27" s="60">
        <f t="shared" si="8"/>
        <v>28591.452</v>
      </c>
      <c r="N27" s="60">
        <f t="shared" si="8"/>
        <v>29922.284</v>
      </c>
      <c r="O27" s="60">
        <f t="shared" si="8"/>
        <v>31255.7335</v>
      </c>
      <c r="P27" s="60">
        <f>SUM(P25+O27)-0.03</f>
        <v>32864.462999999996</v>
      </c>
      <c r="Q27" s="48"/>
      <c r="R27" s="61"/>
    </row>
    <row r="28" spans="1:17" ht="24" customHeight="1" hidden="1">
      <c r="A28" s="37" t="s">
        <v>39</v>
      </c>
      <c r="B28" s="58">
        <f>SUM(E8-E12)-E26</f>
        <v>22.09799999999973</v>
      </c>
      <c r="C28" s="58"/>
      <c r="D28" s="58"/>
      <c r="E28" s="59">
        <f>SUM(F27+B28)</f>
        <v>20422.556000000004</v>
      </c>
      <c r="F28" s="59">
        <f>SUM(G27+E28)</f>
        <v>41788.346000000005</v>
      </c>
      <c r="G28" s="59">
        <f>SUM(H27+F28)</f>
        <v>64575.03800000001</v>
      </c>
      <c r="H28" s="59"/>
      <c r="I28" s="62"/>
      <c r="J28" s="62"/>
      <c r="K28" s="62"/>
      <c r="L28" s="62"/>
      <c r="M28" s="62"/>
      <c r="N28" s="62"/>
      <c r="O28" s="62"/>
      <c r="P28" s="63"/>
      <c r="Q28" s="64"/>
    </row>
    <row r="29" spans="1:17" ht="26.25" customHeight="1" hidden="1" thickBot="1">
      <c r="A29" s="37" t="s">
        <v>40</v>
      </c>
      <c r="B29" s="55">
        <v>0</v>
      </c>
      <c r="C29" s="65"/>
      <c r="D29" s="65"/>
      <c r="E29" s="60">
        <v>0</v>
      </c>
      <c r="F29" s="60">
        <v>0</v>
      </c>
      <c r="G29" s="60">
        <v>0</v>
      </c>
      <c r="H29" s="60"/>
      <c r="I29" s="60"/>
      <c r="J29" s="60"/>
      <c r="K29" s="60"/>
      <c r="L29" s="60"/>
      <c r="M29" s="60"/>
      <c r="N29" s="60"/>
      <c r="O29" s="60"/>
      <c r="P29" s="48"/>
      <c r="Q29" s="54"/>
    </row>
    <row r="30" spans="1:18" ht="8.25" customHeight="1" hidden="1" thickBot="1">
      <c r="A30" s="37" t="s">
        <v>41</v>
      </c>
      <c r="B30" s="35" t="s">
        <v>44</v>
      </c>
      <c r="C30" s="66"/>
      <c r="D30" s="66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9"/>
      <c r="Q30" s="48"/>
      <c r="R30" s="43"/>
    </row>
    <row r="31" spans="1:18" ht="15" customHeight="1" hidden="1" thickBot="1">
      <c r="A31" s="38" t="s">
        <v>42</v>
      </c>
      <c r="B31" s="35" t="s">
        <v>25</v>
      </c>
      <c r="C31" s="66"/>
      <c r="D31" s="66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9"/>
      <c r="Q31" s="49"/>
      <c r="R31" s="44"/>
    </row>
    <row r="32" spans="1:18" ht="0.75" customHeight="1" hidden="1" thickBot="1">
      <c r="A32" s="38" t="s">
        <v>43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>
        <f>SUM(O28-P30)</f>
        <v>0</v>
      </c>
      <c r="Q32" s="50"/>
      <c r="R32" s="45"/>
    </row>
    <row r="33" spans="1:18" ht="24" customHeight="1" hidden="1" thickBot="1">
      <c r="A33" s="40" t="s">
        <v>46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>
        <f>SUM(O29-P30)</f>
        <v>0</v>
      </c>
      <c r="Q33" s="50"/>
      <c r="R33" s="45"/>
    </row>
    <row r="34" spans="5:18" ht="3" customHeight="1" hidden="1"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</row>
    <row r="35" ht="12.75" hidden="1"/>
    <row r="36" ht="6" customHeight="1" hidden="1"/>
    <row r="37" ht="12.75" hidden="1">
      <c r="B37" t="s">
        <v>48</v>
      </c>
    </row>
    <row r="38" ht="12.75" hidden="1"/>
    <row r="39" ht="12.75">
      <c r="B39" t="s">
        <v>64</v>
      </c>
    </row>
    <row r="42" ht="12.75" customHeight="1"/>
    <row r="43" ht="12.75" customHeight="1"/>
  </sheetData>
  <sheetProtection/>
  <mergeCells count="5">
    <mergeCell ref="B4:R4"/>
    <mergeCell ref="B5:R5"/>
    <mergeCell ref="B3:R3"/>
    <mergeCell ref="B1:G1"/>
    <mergeCell ref="B2:Q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2018-02-08T08:55:13Z</cp:lastPrinted>
  <dcterms:created xsi:type="dcterms:W3CDTF">2011-06-16T11:06:26Z</dcterms:created>
  <dcterms:modified xsi:type="dcterms:W3CDTF">2018-02-12T08:23:12Z</dcterms:modified>
  <cp:category/>
  <cp:version/>
  <cp:contentType/>
  <cp:contentStatus/>
</cp:coreProperties>
</file>