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<sst xmlns="http://schemas.openxmlformats.org/spreadsheetml/2006/main" count="82" uniqueCount="81">
  <si>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</si>
  <si>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</si>
  <si>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</si>
  <si>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</si>
  <si>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</si>
  <si>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</si>
  <si>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</si>
  <si>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</si>
  <si>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</si>
  <si>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</si>
  <si>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</si>
  <si>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</si>
  <si>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</si>
  <si>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</si>
  <si>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</si>
  <si>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</si>
  <si>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</si>
  <si>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</si>
  <si>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</si>
  <si>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</si>
  <si>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</si>
  <si>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</si>
  <si>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</si>
  <si>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</si>
  <si>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</si>
  <si>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</si>
  <si>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</si>
  <si>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</si>
  <si>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</si>
  <si>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</si>
  <si>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</si>
  <si>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</si>
  <si>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</si>
  <si>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</si>
  <si>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</si>
  <si>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</si>
  <si>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</si>
  <si>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</si>
  <si>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</si>
  <si>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</si>
  <si>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</si>
  <si>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</si>
  <si>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</si>
  <si>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</si>
  <si>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</si>
  <si>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</si>
  <si>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</si>
  <si>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</si>
  <si>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</si>
  <si>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</si>
  <si>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</si>
  <si>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</si>
  <si>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</si>
  <si>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Совхозная д.4</t>
  </si>
  <si>
    <t>Итого за 2011 г</t>
  </si>
  <si>
    <t>Результат за месяц</t>
  </si>
  <si>
    <t>Дом по ул.Совхозная д.4 вступил в ООО "Наш дом" с апреля 2010 года                   тариф 9,2 руб</t>
  </si>
  <si>
    <t>Благоустройство территории</t>
  </si>
  <si>
    <t>Итого за 2012 г</t>
  </si>
  <si>
    <t>4.14</t>
  </si>
  <si>
    <t>4.15</t>
  </si>
  <si>
    <t>%  оплаты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</si>
  <si>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</si>
  <si>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</si>
  <si>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</si>
  <si>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</si>
  <si>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</si>
  <si>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</si>
  <si>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</si>
  <si>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</si>
  <si>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Проверка вент.каналов</t>
  </si>
  <si>
    <t>Исполнитель  вед. экономист /Викторова Л.С./</t>
  </si>
  <si>
    <t>Итого за 2016 г</t>
  </si>
  <si>
    <t>Итого за 2017 г</t>
  </si>
  <si>
    <t>Всего за 2010-2017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</si>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</sst>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1" fontId="21" fillId="0" borderId="3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5" fillId="0" borderId="28" xfId="0" applyFon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3" xfId="0" applyFont="1" applyBorder="1" applyAlignment="1">
      <alignment/>
    </xf>
    <xf numFmtId="1" fontId="20" fillId="0" borderId="41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2" fontId="25" fillId="0" borderId="36" xfId="0" applyNumberFormat="1" applyFont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B13">
      <selection activeCell="N26" sqref="N26"/>
    </sheetView>
  </sheetViews>
  <sheetFormatPr defaultColWidth="9.00390625" defaultRowHeight="12.75"/>
  <cols>
    <col min="1" max="1" width="4.25390625" style="29" hidden="1" customWidth="1"/>
    <col min="2" max="2" width="22.625" style="0" customWidth="1"/>
    <col min="3" max="3" width="7.125" style="0" hidden="1" customWidth="1"/>
    <col min="4" max="4" width="7.25390625" style="0" hidden="1" customWidth="1"/>
    <col min="5" max="5" width="7.625" style="0" hidden="1" customWidth="1"/>
    <col min="6" max="8" width="7.875" style="0" hidden="1" customWidth="1"/>
    <col min="9" max="9" width="8.375" style="0" hidden="1" customWidth="1"/>
    <col min="10" max="10" width="9.00390625" style="0" customWidth="1"/>
    <col min="11" max="11" width="8.125" style="0" customWidth="1"/>
    <col min="12" max="12" width="7.375" style="0" customWidth="1"/>
    <col min="13" max="13" width="9.125" style="0" customWidth="1"/>
    <col min="14" max="14" width="7.75390625" style="0" customWidth="1"/>
    <col min="15" max="15" width="9.375" style="0" customWidth="1"/>
    <col min="16" max="16" width="8.375" style="0" customWidth="1"/>
    <col min="17" max="18" width="9.00390625" style="0" customWidth="1"/>
    <col min="19" max="19" width="8.375" style="0" customWidth="1"/>
    <col min="20" max="20" width="8.625" style="0" customWidth="1"/>
    <col min="21" max="21" width="8.875" style="0" customWidth="1"/>
    <col min="22" max="22" width="11.75390625" style="0" customWidth="1"/>
    <col min="23" max="23" width="10.625" style="0" hidden="1" customWidth="1"/>
  </cols>
  <sheetData>
    <row r="1" spans="2:28" ht="12.75" customHeight="1">
      <c r="B1" s="90" t="s">
        <v>10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3"/>
      <c r="Y3" s="3"/>
      <c r="Z3" s="3"/>
      <c r="AA3" s="3"/>
      <c r="AB3" s="3"/>
    </row>
    <row r="4" spans="2:28" ht="15.75" customHeight="1">
      <c r="B4" s="88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2"/>
      <c r="Y4" s="2"/>
      <c r="Z4" s="2"/>
      <c r="AA4" s="2"/>
      <c r="AB4" s="2"/>
    </row>
    <row r="5" spans="2:28" ht="15.75" customHeight="1" thickBot="1">
      <c r="B5" s="88" t="s">
        <v>53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31.5" customHeight="1" thickBot="1">
      <c r="A7" s="40" t="s">
        <v>29</v>
      </c>
      <c r="B7" s="30" t="s">
        <v>8</v>
      </c>
      <c r="C7" s="43" t="s">
        <v>50</v>
      </c>
      <c r="D7" s="75" t="s">
        <v>54</v>
      </c>
      <c r="E7" s="57" t="s">
        <v>58</v>
      </c>
      <c r="F7" s="57" t="s">
        <v>62</v>
      </c>
      <c r="G7" s="57" t="s">
        <v>63</v>
      </c>
      <c r="H7" s="57" t="s">
        <v>66</v>
      </c>
      <c r="I7" s="57" t="s">
        <v>72</v>
      </c>
      <c r="J7" s="6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6" t="s">
        <v>23</v>
      </c>
      <c r="V7" s="57" t="s">
        <v>73</v>
      </c>
      <c r="W7" s="51" t="s">
        <v>74</v>
      </c>
      <c r="X7" s="1"/>
      <c r="Y7" s="1"/>
      <c r="Z7" s="1"/>
      <c r="AA7" s="1"/>
      <c r="AB7" s="1"/>
    </row>
    <row r="8" spans="1:23" ht="13.5" thickBot="1">
      <c r="A8" s="41" t="s">
        <v>30</v>
      </c>
      <c r="B8" s="31" t="s">
        <v>1</v>
      </c>
      <c r="C8" s="70">
        <v>241665.6</v>
      </c>
      <c r="D8" s="76">
        <v>321734.12</v>
      </c>
      <c r="E8" s="71">
        <v>321819.58</v>
      </c>
      <c r="F8" s="70">
        <v>321765.4</v>
      </c>
      <c r="G8" s="71">
        <v>321694.56</v>
      </c>
      <c r="H8" s="70">
        <v>321300.8</v>
      </c>
      <c r="I8" s="70">
        <v>321029.4</v>
      </c>
      <c r="J8" s="7">
        <v>26783.96</v>
      </c>
      <c r="K8" s="8">
        <v>26797.76</v>
      </c>
      <c r="L8" s="8">
        <v>26797.76</v>
      </c>
      <c r="M8" s="8">
        <v>26797.76</v>
      </c>
      <c r="N8" s="8">
        <v>26797.76</v>
      </c>
      <c r="O8" s="8">
        <v>26797.76</v>
      </c>
      <c r="P8" s="8">
        <v>26797.76</v>
      </c>
      <c r="Q8" s="8">
        <v>26797.76</v>
      </c>
      <c r="R8" s="8">
        <v>26797.76</v>
      </c>
      <c r="S8" s="8">
        <v>26797.76</v>
      </c>
      <c r="T8" s="8">
        <v>26791.32</v>
      </c>
      <c r="U8" s="17">
        <v>26791.32</v>
      </c>
      <c r="V8" s="63">
        <f>SUM(J8:U8)</f>
        <v>321546.44000000006</v>
      </c>
      <c r="W8" s="65">
        <f>SUM(C8:U8)</f>
        <v>2492555.899999998</v>
      </c>
    </row>
    <row r="9" spans="1:23" ht="12.75">
      <c r="A9" s="41"/>
      <c r="B9" s="31" t="s">
        <v>75</v>
      </c>
      <c r="C9" s="71"/>
      <c r="D9" s="76"/>
      <c r="E9" s="71"/>
      <c r="F9" s="71"/>
      <c r="G9" s="71"/>
      <c r="H9" s="71"/>
      <c r="I9" s="71"/>
      <c r="J9" s="7">
        <f>2378.71+116.39+781.47</f>
        <v>3276.5699999999997</v>
      </c>
      <c r="K9" s="8">
        <f>2378.74+116.38+781.54</f>
        <v>3276.66</v>
      </c>
      <c r="L9" s="8">
        <f>2378.74+116.38+781.54</f>
        <v>3276.66</v>
      </c>
      <c r="M9" s="8">
        <f>2378.74+116.38+781.51</f>
        <v>3276.63</v>
      </c>
      <c r="N9" s="8">
        <f>2378.74+116.38+781.54</f>
        <v>3276.66</v>
      </c>
      <c r="O9" s="8">
        <f>1963.44+123.65+177.28+537.25</f>
        <v>2801.6200000000003</v>
      </c>
      <c r="P9" s="8">
        <f>2059.57+124.86+181.56+555.87</f>
        <v>2921.86</v>
      </c>
      <c r="Q9" s="8">
        <f>2059.57+124.86+181.56+555.87</f>
        <v>2921.86</v>
      </c>
      <c r="R9" s="8">
        <f>2059.57+124.86+181.56+555.87</f>
        <v>2921.86</v>
      </c>
      <c r="S9" s="8">
        <f>2059.57+124.86+181.56+555.87</f>
        <v>2921.86</v>
      </c>
      <c r="T9" s="8">
        <f>2059.55+124.83+181.57+555.87</f>
        <v>2921.82</v>
      </c>
      <c r="U9" s="8">
        <f>2059.55+124.83+181.57+555.87</f>
        <v>2921.82</v>
      </c>
      <c r="V9" s="63">
        <f>SUM(J9:U9)</f>
        <v>36715.880000000005</v>
      </c>
      <c r="W9" s="65">
        <f>SUM(C9:U9)</f>
        <v>36715.880000000005</v>
      </c>
    </row>
    <row r="10" spans="1:23" ht="12.75">
      <c r="A10" s="41" t="s">
        <v>31</v>
      </c>
      <c r="B10" s="32" t="s">
        <v>2</v>
      </c>
      <c r="C10" s="72">
        <v>200625.79</v>
      </c>
      <c r="D10" s="77">
        <v>326515.65</v>
      </c>
      <c r="E10" s="72">
        <v>313631.81</v>
      </c>
      <c r="F10" s="72">
        <v>319463.51</v>
      </c>
      <c r="G10" s="72">
        <v>313598.64</v>
      </c>
      <c r="H10" s="72">
        <v>324850.96</v>
      </c>
      <c r="I10" s="72">
        <v>314977.33</v>
      </c>
      <c r="J10" s="9">
        <v>25888.43</v>
      </c>
      <c r="K10" s="10">
        <v>28222.86</v>
      </c>
      <c r="L10" s="10">
        <v>29602.79</v>
      </c>
      <c r="M10" s="10">
        <v>27272.23</v>
      </c>
      <c r="N10" s="10">
        <v>28472.58</v>
      </c>
      <c r="O10" s="10">
        <v>30940.87</v>
      </c>
      <c r="P10" s="10">
        <v>26625.56</v>
      </c>
      <c r="Q10" s="10">
        <v>30491.77</v>
      </c>
      <c r="R10" s="10">
        <v>29042.72</v>
      </c>
      <c r="S10" s="10">
        <v>28689.82</v>
      </c>
      <c r="T10" s="10">
        <v>27895.44</v>
      </c>
      <c r="U10" s="18">
        <v>29728.68</v>
      </c>
      <c r="V10" s="58">
        <f>SUM(J10:U10)</f>
        <v>342873.75</v>
      </c>
      <c r="W10" s="28">
        <f>SUM(C10:U10)</f>
        <v>2456537.4400000004</v>
      </c>
    </row>
    <row r="11" spans="1:23" ht="15" customHeight="1" thickBot="1">
      <c r="A11" s="41" t="s">
        <v>32</v>
      </c>
      <c r="B11" s="33" t="s">
        <v>61</v>
      </c>
      <c r="C11" s="59">
        <f aca="true" t="shared" si="0" ref="C11:J11">SUM(C10/C8*100)</f>
        <v>83.01793469984972</v>
      </c>
      <c r="D11" s="50">
        <f t="shared" si="0"/>
        <v>101.48617436036938</v>
      </c>
      <c r="E11" s="59">
        <f t="shared" si="0"/>
        <v>97.45578873727943</v>
      </c>
      <c r="F11" s="59">
        <f t="shared" si="0"/>
        <v>99.28460611364677</v>
      </c>
      <c r="G11" s="59">
        <f t="shared" si="0"/>
        <v>97.4833519099608</v>
      </c>
      <c r="H11" s="59">
        <f>SUM(H10/H8*100)</f>
        <v>101.10493344554388</v>
      </c>
      <c r="I11" s="59">
        <f>SUM(I10/I8*100)</f>
        <v>98.11479260154988</v>
      </c>
      <c r="J11" s="22">
        <f t="shared" si="0"/>
        <v>96.65646902101108</v>
      </c>
      <c r="K11" s="22">
        <f aca="true" t="shared" si="1" ref="K11:U11">SUM(K10/K8*100)</f>
        <v>105.31798180146401</v>
      </c>
      <c r="L11" s="22">
        <f t="shared" si="1"/>
        <v>110.4674047383065</v>
      </c>
      <c r="M11" s="22">
        <f t="shared" si="1"/>
        <v>101.77055843473484</v>
      </c>
      <c r="N11" s="22">
        <f t="shared" si="1"/>
        <v>106.2498507337927</v>
      </c>
      <c r="O11" s="22">
        <f t="shared" si="1"/>
        <v>115.4606579057354</v>
      </c>
      <c r="P11" s="22">
        <f t="shared" si="1"/>
        <v>99.35740897746679</v>
      </c>
      <c r="Q11" s="22">
        <f t="shared" si="1"/>
        <v>113.78477156299631</v>
      </c>
      <c r="R11" s="22">
        <f t="shared" si="1"/>
        <v>108.3774166198966</v>
      </c>
      <c r="S11" s="22">
        <f t="shared" si="1"/>
        <v>107.06051550577362</v>
      </c>
      <c r="T11" s="22">
        <f t="shared" si="1"/>
        <v>104.12118551829472</v>
      </c>
      <c r="U11" s="50">
        <f t="shared" si="1"/>
        <v>110.96384948557967</v>
      </c>
      <c r="V11" s="64">
        <f>SUM(V10/V8*100)</f>
        <v>106.63273087396021</v>
      </c>
      <c r="W11" s="64">
        <f>SUM(W10/W8*100)</f>
        <v>98.55495878748405</v>
      </c>
    </row>
    <row r="12" spans="1:23" ht="13.5" thickBot="1">
      <c r="A12" s="41" t="s">
        <v>33</v>
      </c>
      <c r="B12" s="34" t="s">
        <v>3</v>
      </c>
      <c r="C12" s="60">
        <f aca="true" t="shared" si="2" ref="C12:J12">SUM(C13:C28)</f>
        <v>198617.07</v>
      </c>
      <c r="D12" s="19">
        <f t="shared" si="2"/>
        <v>288487.13</v>
      </c>
      <c r="E12" s="60">
        <f t="shared" si="2"/>
        <v>295414.34</v>
      </c>
      <c r="F12" s="60">
        <f t="shared" si="2"/>
        <v>324532.86</v>
      </c>
      <c r="G12" s="60">
        <f t="shared" si="2"/>
        <v>327515.48</v>
      </c>
      <c r="H12" s="60">
        <f>SUM(H13:H28)</f>
        <v>341246.62000000005</v>
      </c>
      <c r="I12" s="60">
        <f>SUM(I13:I28)</f>
        <v>305870.71</v>
      </c>
      <c r="J12" s="13">
        <f t="shared" si="2"/>
        <v>26226.94</v>
      </c>
      <c r="K12" s="13">
        <f aca="true" t="shared" si="3" ref="K12:U12">SUM(K13:K28)</f>
        <v>24678.309999999998</v>
      </c>
      <c r="L12" s="13">
        <f t="shared" si="3"/>
        <v>28004.25</v>
      </c>
      <c r="M12" s="13">
        <f t="shared" si="3"/>
        <v>28913.569999999996</v>
      </c>
      <c r="N12" s="13">
        <f t="shared" si="3"/>
        <v>40387.67</v>
      </c>
      <c r="O12" s="13">
        <f t="shared" si="3"/>
        <v>28054.360000000008</v>
      </c>
      <c r="P12" s="13">
        <f t="shared" si="3"/>
        <v>27602.73</v>
      </c>
      <c r="Q12" s="13">
        <f t="shared" si="3"/>
        <v>27811.269999999997</v>
      </c>
      <c r="R12" s="13">
        <f t="shared" si="3"/>
        <v>27001.81</v>
      </c>
      <c r="S12" s="13">
        <f t="shared" si="3"/>
        <v>29014.410000000003</v>
      </c>
      <c r="T12" s="13">
        <f t="shared" si="3"/>
        <v>27061.21</v>
      </c>
      <c r="U12" s="19">
        <f t="shared" si="3"/>
        <v>32370.13</v>
      </c>
      <c r="V12" s="60">
        <f>SUM(J12:U12)</f>
        <v>347126.66000000003</v>
      </c>
      <c r="W12" s="66">
        <f>SUM(C12:U12)</f>
        <v>2428810.8699999996</v>
      </c>
    </row>
    <row r="13" spans="1:23" ht="13.5" thickBot="1">
      <c r="A13" s="41" t="s">
        <v>34</v>
      </c>
      <c r="B13" s="35" t="s">
        <v>5</v>
      </c>
      <c r="C13" s="47">
        <v>40278.56</v>
      </c>
      <c r="D13" s="78">
        <v>58919.48</v>
      </c>
      <c r="E13" s="47">
        <v>59661.77</v>
      </c>
      <c r="F13" s="47">
        <v>66688.92</v>
      </c>
      <c r="G13" s="47">
        <v>71246.83</v>
      </c>
      <c r="H13" s="47">
        <v>66478.33</v>
      </c>
      <c r="I13" s="47">
        <v>64490.32</v>
      </c>
      <c r="J13" s="7">
        <f>4982+62.12</f>
        <v>5044.12</v>
      </c>
      <c r="K13" s="8">
        <f>4982+291.93</f>
        <v>5273.93</v>
      </c>
      <c r="L13" s="8">
        <f>4982+171.43</f>
        <v>5153.43</v>
      </c>
      <c r="M13" s="8">
        <f>4982+543.26</f>
        <v>5525.26</v>
      </c>
      <c r="N13" s="8">
        <f>4982+271.17</f>
        <v>5253.17</v>
      </c>
      <c r="O13" s="8">
        <f>4982+165.75</f>
        <v>5147.75</v>
      </c>
      <c r="P13" s="8">
        <f>5088+266.19</f>
        <v>5354.19</v>
      </c>
      <c r="Q13" s="8">
        <f>4982+300.67</f>
        <v>5282.67</v>
      </c>
      <c r="R13" s="8">
        <f>4982+311.01</f>
        <v>5293.01</v>
      </c>
      <c r="S13" s="8">
        <f>4982+323.31</f>
        <v>5305.31</v>
      </c>
      <c r="T13" s="8">
        <f>4982+282.55</f>
        <v>5264.55</v>
      </c>
      <c r="U13" s="17">
        <f>4982+283.07</f>
        <v>5265.07</v>
      </c>
      <c r="V13" s="60">
        <f aca="true" t="shared" si="4" ref="V13:V30">SUM(J13:U13)</f>
        <v>63162.46</v>
      </c>
      <c r="W13" s="66">
        <f>SUM(C13:U13)</f>
        <v>490926.67</v>
      </c>
    </row>
    <row r="14" spans="1:23" ht="12.75" customHeight="1" thickBot="1">
      <c r="A14" s="41" t="s">
        <v>35</v>
      </c>
      <c r="B14" s="36" t="s">
        <v>67</v>
      </c>
      <c r="C14" s="48">
        <v>46373.8</v>
      </c>
      <c r="D14" s="79">
        <v>28611.31</v>
      </c>
      <c r="E14" s="48">
        <f>4563.97+4994</f>
        <v>9557.970000000001</v>
      </c>
      <c r="F14" s="48">
        <v>6801.88</v>
      </c>
      <c r="G14" s="48">
        <v>9155.75</v>
      </c>
      <c r="H14" s="48">
        <v>6544.58</v>
      </c>
      <c r="I14" s="48">
        <v>1173.8</v>
      </c>
      <c r="J14" s="9"/>
      <c r="K14" s="10"/>
      <c r="L14" s="10"/>
      <c r="M14" s="10"/>
      <c r="N14" s="10">
        <v>384</v>
      </c>
      <c r="O14" s="10"/>
      <c r="P14" s="10"/>
      <c r="Q14" s="10"/>
      <c r="R14" s="10"/>
      <c r="S14" s="10"/>
      <c r="T14" s="10"/>
      <c r="U14" s="18"/>
      <c r="V14" s="60">
        <f t="shared" si="4"/>
        <v>384</v>
      </c>
      <c r="W14" s="66">
        <f>SUM(C14:U14)</f>
        <v>108603.09000000001</v>
      </c>
    </row>
    <row r="15" spans="1:23" ht="14.25" customHeight="1" thickBot="1">
      <c r="A15" s="41" t="s">
        <v>36</v>
      </c>
      <c r="B15" s="33" t="s">
        <v>6</v>
      </c>
      <c r="C15" s="48">
        <v>0</v>
      </c>
      <c r="D15" s="79">
        <v>5217.25</v>
      </c>
      <c r="E15" s="48">
        <v>0</v>
      </c>
      <c r="F15" s="48">
        <v>0</v>
      </c>
      <c r="G15" s="48">
        <v>11352.28</v>
      </c>
      <c r="H15" s="48">
        <v>0</v>
      </c>
      <c r="I15" s="48">
        <v>0</v>
      </c>
      <c r="J15" s="9"/>
      <c r="K15" s="10"/>
      <c r="L15" s="10"/>
      <c r="M15" s="10"/>
      <c r="N15" s="10">
        <v>12189.7</v>
      </c>
      <c r="O15" s="10"/>
      <c r="P15" s="10"/>
      <c r="Q15" s="10"/>
      <c r="R15" s="10"/>
      <c r="S15" s="10"/>
      <c r="T15" s="10"/>
      <c r="U15" s="18"/>
      <c r="V15" s="60">
        <f t="shared" si="4"/>
        <v>12189.7</v>
      </c>
      <c r="W15" s="66">
        <f aca="true" t="shared" si="5" ref="W15:W27">SUM(C15:U15)</f>
        <v>28759.23</v>
      </c>
    </row>
    <row r="16" spans="1:23" ht="12.75" customHeight="1" thickBot="1">
      <c r="A16" s="41" t="s">
        <v>37</v>
      </c>
      <c r="B16" s="36" t="s">
        <v>65</v>
      </c>
      <c r="C16" s="48">
        <v>13339.78</v>
      </c>
      <c r="D16" s="79">
        <v>7495.51</v>
      </c>
      <c r="E16" s="48">
        <v>23109.24</v>
      </c>
      <c r="F16" s="48">
        <v>44709.79</v>
      </c>
      <c r="G16" s="48">
        <v>19310.75</v>
      </c>
      <c r="H16" s="48">
        <v>28143.63</v>
      </c>
      <c r="I16" s="48">
        <v>17488.03</v>
      </c>
      <c r="J16" s="9">
        <v>90</v>
      </c>
      <c r="K16" s="10">
        <v>108</v>
      </c>
      <c r="L16" s="10">
        <v>205</v>
      </c>
      <c r="M16" s="10">
        <v>189</v>
      </c>
      <c r="N16" s="10">
        <v>127.58</v>
      </c>
      <c r="O16" s="10">
        <v>1611.77</v>
      </c>
      <c r="P16" s="10">
        <v>243</v>
      </c>
      <c r="Q16" s="10">
        <f>850+95</f>
        <v>945</v>
      </c>
      <c r="R16" s="10">
        <v>459</v>
      </c>
      <c r="S16" s="10">
        <v>2001.76</v>
      </c>
      <c r="T16" s="10">
        <v>75</v>
      </c>
      <c r="U16" s="18">
        <v>4920.2</v>
      </c>
      <c r="V16" s="60">
        <f t="shared" si="4"/>
        <v>10975.31</v>
      </c>
      <c r="W16" s="66">
        <f t="shared" si="5"/>
        <v>164572.04</v>
      </c>
    </row>
    <row r="17" spans="1:23" ht="13.5" customHeight="1" thickBot="1">
      <c r="A17" s="41" t="s">
        <v>38</v>
      </c>
      <c r="B17" s="36" t="s">
        <v>70</v>
      </c>
      <c r="C17" s="48"/>
      <c r="D17" s="79"/>
      <c r="E17" s="48"/>
      <c r="F17" s="48">
        <v>0</v>
      </c>
      <c r="G17" s="48"/>
      <c r="H17" s="48">
        <v>3600</v>
      </c>
      <c r="I17" s="48">
        <v>4300</v>
      </c>
      <c r="J17" s="9"/>
      <c r="K17" s="10"/>
      <c r="L17" s="10"/>
      <c r="M17" s="10">
        <v>2300</v>
      </c>
      <c r="N17" s="10"/>
      <c r="O17" s="10"/>
      <c r="P17" s="10"/>
      <c r="Q17" s="10"/>
      <c r="R17" s="10"/>
      <c r="S17" s="10"/>
      <c r="T17" s="10"/>
      <c r="U17" s="18"/>
      <c r="V17" s="60">
        <f>SUM(J17:U17)</f>
        <v>2300</v>
      </c>
      <c r="W17" s="66">
        <f>SUM(C17:U17)</f>
        <v>10200</v>
      </c>
    </row>
    <row r="18" spans="1:23" ht="13.5" customHeight="1" thickBot="1">
      <c r="A18" s="41" t="s">
        <v>39</v>
      </c>
      <c r="B18" s="36" t="s">
        <v>57</v>
      </c>
      <c r="C18" s="48">
        <v>0</v>
      </c>
      <c r="D18" s="79">
        <v>0</v>
      </c>
      <c r="E18" s="48">
        <v>256</v>
      </c>
      <c r="F18" s="48">
        <v>0</v>
      </c>
      <c r="G18" s="48">
        <v>11504.29</v>
      </c>
      <c r="H18" s="48">
        <v>3252.96</v>
      </c>
      <c r="I18" s="48">
        <v>708.85</v>
      </c>
      <c r="J18" s="9">
        <v>268.15</v>
      </c>
      <c r="K18" s="10">
        <v>94.94</v>
      </c>
      <c r="L18" s="10"/>
      <c r="M18" s="10"/>
      <c r="N18" s="10"/>
      <c r="O18" s="10"/>
      <c r="P18" s="10"/>
      <c r="Q18" s="10"/>
      <c r="R18" s="10"/>
      <c r="S18" s="10"/>
      <c r="T18" s="10"/>
      <c r="U18" s="18">
        <v>222.33</v>
      </c>
      <c r="V18" s="60">
        <f t="shared" si="4"/>
        <v>585.42</v>
      </c>
      <c r="W18" s="66">
        <f t="shared" si="5"/>
        <v>16307.52</v>
      </c>
    </row>
    <row r="19" spans="1:23" ht="14.25" customHeight="1" thickBot="1">
      <c r="A19" s="41" t="s">
        <v>40</v>
      </c>
      <c r="B19" s="36" t="s">
        <v>76</v>
      </c>
      <c r="C19" s="48">
        <v>5554.34</v>
      </c>
      <c r="D19" s="79">
        <v>8990.95</v>
      </c>
      <c r="E19" s="48">
        <v>5155.86</v>
      </c>
      <c r="F19" s="48">
        <v>0</v>
      </c>
      <c r="G19" s="48"/>
      <c r="H19" s="48">
        <v>0</v>
      </c>
      <c r="I19" s="48">
        <v>0</v>
      </c>
      <c r="J19" s="9">
        <v>2378.71</v>
      </c>
      <c r="K19" s="10">
        <v>2378.74</v>
      </c>
      <c r="L19" s="10">
        <v>2378.74</v>
      </c>
      <c r="M19" s="10">
        <v>2378.74</v>
      </c>
      <c r="N19" s="10">
        <v>2378.74</v>
      </c>
      <c r="O19" s="10">
        <v>1963.44</v>
      </c>
      <c r="P19" s="10">
        <v>2059.57</v>
      </c>
      <c r="Q19" s="10">
        <v>2059.57</v>
      </c>
      <c r="R19" s="10">
        <v>2059.57</v>
      </c>
      <c r="S19" s="10">
        <v>2059.57</v>
      </c>
      <c r="T19" s="10">
        <v>2059.57</v>
      </c>
      <c r="U19" s="10">
        <v>2059.57</v>
      </c>
      <c r="V19" s="60">
        <f t="shared" si="4"/>
        <v>26214.53</v>
      </c>
      <c r="W19" s="66">
        <f t="shared" si="5"/>
        <v>45915.67999999999</v>
      </c>
    </row>
    <row r="20" spans="1:23" ht="14.25" customHeight="1" thickBot="1">
      <c r="A20" s="41"/>
      <c r="B20" s="36" t="s">
        <v>78</v>
      </c>
      <c r="C20" s="48"/>
      <c r="D20" s="79"/>
      <c r="E20" s="48"/>
      <c r="F20" s="48"/>
      <c r="G20" s="48"/>
      <c r="H20" s="48"/>
      <c r="I20" s="48"/>
      <c r="J20" s="9"/>
      <c r="K20" s="10"/>
      <c r="L20" s="10"/>
      <c r="M20" s="10"/>
      <c r="N20" s="10">
        <v>465.52</v>
      </c>
      <c r="O20" s="10">
        <v>240.03</v>
      </c>
      <c r="P20" s="10">
        <v>124.83</v>
      </c>
      <c r="Q20" s="10">
        <v>124.83</v>
      </c>
      <c r="R20" s="10">
        <v>124.83</v>
      </c>
      <c r="S20" s="10">
        <v>124.83</v>
      </c>
      <c r="T20" s="10">
        <v>124.83</v>
      </c>
      <c r="U20" s="10">
        <v>124.83</v>
      </c>
      <c r="V20" s="60">
        <f>SUM(J20:U20)</f>
        <v>1454.5299999999997</v>
      </c>
      <c r="W20" s="66">
        <f>SUM(C20:U20)</f>
        <v>1454.5299999999997</v>
      </c>
    </row>
    <row r="21" spans="1:23" ht="14.25" customHeight="1" thickBot="1">
      <c r="A21" s="41"/>
      <c r="B21" s="36" t="s">
        <v>77</v>
      </c>
      <c r="C21" s="48"/>
      <c r="D21" s="79"/>
      <c r="E21" s="48"/>
      <c r="F21" s="48"/>
      <c r="G21" s="48"/>
      <c r="H21" s="48"/>
      <c r="I21" s="48"/>
      <c r="J21" s="9"/>
      <c r="K21" s="10"/>
      <c r="L21" s="10">
        <f>1523.72+781.46</f>
        <v>2305.1800000000003</v>
      </c>
      <c r="M21" s="10">
        <v>781.46</v>
      </c>
      <c r="N21" s="10">
        <v>781.46</v>
      </c>
      <c r="O21" s="10">
        <v>537.28</v>
      </c>
      <c r="P21" s="10">
        <v>278.54</v>
      </c>
      <c r="Q21" s="10">
        <v>555.87</v>
      </c>
      <c r="R21" s="10">
        <v>555.86</v>
      </c>
      <c r="S21" s="10">
        <v>555.86</v>
      </c>
      <c r="T21" s="10">
        <v>555.86</v>
      </c>
      <c r="U21" s="10">
        <v>555.86</v>
      </c>
      <c r="V21" s="60">
        <f>SUM(J21:U21)</f>
        <v>7463.229999999999</v>
      </c>
      <c r="W21" s="66">
        <f>SUM(C21:U21)</f>
        <v>7463.229999999999</v>
      </c>
    </row>
    <row r="22" spans="1:23" ht="14.25" customHeight="1" thickBot="1">
      <c r="A22" s="41"/>
      <c r="B22" s="36" t="s">
        <v>79</v>
      </c>
      <c r="C22" s="48"/>
      <c r="D22" s="79"/>
      <c r="E22" s="48"/>
      <c r="F22" s="48"/>
      <c r="G22" s="48"/>
      <c r="H22" s="48"/>
      <c r="I22" s="48"/>
      <c r="J22" s="9"/>
      <c r="K22" s="10"/>
      <c r="L22" s="10"/>
      <c r="M22" s="10"/>
      <c r="N22" s="10"/>
      <c r="O22" s="10">
        <v>177.29</v>
      </c>
      <c r="P22" s="10">
        <v>181.57</v>
      </c>
      <c r="Q22" s="10">
        <v>181.57</v>
      </c>
      <c r="R22" s="10">
        <v>181.57</v>
      </c>
      <c r="S22" s="10">
        <v>181.57</v>
      </c>
      <c r="T22" s="10">
        <v>181.57</v>
      </c>
      <c r="U22" s="10">
        <v>181.57</v>
      </c>
      <c r="V22" s="60">
        <f>SUM(J22:U22)</f>
        <v>1266.7099999999998</v>
      </c>
      <c r="W22" s="66">
        <f>SUM(C22:U22)</f>
        <v>1266.7099999999998</v>
      </c>
    </row>
    <row r="23" spans="1:23" ht="12.75" customHeight="1" thickBot="1">
      <c r="A23" s="41" t="s">
        <v>41</v>
      </c>
      <c r="B23" s="36" t="s">
        <v>7</v>
      </c>
      <c r="C23" s="48">
        <v>2461.24</v>
      </c>
      <c r="D23" s="79">
        <v>5439.68</v>
      </c>
      <c r="E23" s="48">
        <v>719.96</v>
      </c>
      <c r="F23" s="48">
        <v>580.98</v>
      </c>
      <c r="G23" s="48">
        <v>666.81</v>
      </c>
      <c r="H23" s="48">
        <v>958.74</v>
      </c>
      <c r="I23" s="48">
        <v>537.33</v>
      </c>
      <c r="J23" s="9">
        <v>219.81</v>
      </c>
      <c r="K23" s="10"/>
      <c r="L23" s="10"/>
      <c r="M23" s="10">
        <v>171.13</v>
      </c>
      <c r="N23" s="10"/>
      <c r="O23" s="10">
        <v>122.1</v>
      </c>
      <c r="P23" s="10"/>
      <c r="Q23" s="10"/>
      <c r="R23" s="10">
        <v>232.01</v>
      </c>
      <c r="S23" s="10"/>
      <c r="T23" s="10"/>
      <c r="U23" s="18">
        <v>259.96</v>
      </c>
      <c r="V23" s="60">
        <f t="shared" si="4"/>
        <v>1005.01</v>
      </c>
      <c r="W23" s="66">
        <f t="shared" si="5"/>
        <v>12369.749999999998</v>
      </c>
    </row>
    <row r="24" spans="1:23" ht="23.25" customHeight="1" thickBot="1">
      <c r="A24" s="41" t="s">
        <v>42</v>
      </c>
      <c r="B24" s="36" t="s">
        <v>80</v>
      </c>
      <c r="C24" s="48">
        <v>3974.86</v>
      </c>
      <c r="D24" s="79">
        <v>14165.68</v>
      </c>
      <c r="E24" s="48">
        <v>18031.84</v>
      </c>
      <c r="F24" s="48">
        <v>16642.1</v>
      </c>
      <c r="G24" s="48">
        <v>11868.27</v>
      </c>
      <c r="H24" s="48">
        <v>13986.36</v>
      </c>
      <c r="I24" s="48">
        <v>14778.22</v>
      </c>
      <c r="J24" s="9">
        <v>1252.72</v>
      </c>
      <c r="K24" s="10">
        <v>1171.93</v>
      </c>
      <c r="L24" s="10">
        <v>1456.89</v>
      </c>
      <c r="M24" s="10">
        <v>1082.75</v>
      </c>
      <c r="N24" s="10">
        <v>1153.11</v>
      </c>
      <c r="O24" s="10">
        <v>1296.75</v>
      </c>
      <c r="P24" s="10">
        <v>1050.97</v>
      </c>
      <c r="Q24" s="10">
        <v>1215.64</v>
      </c>
      <c r="R24" s="10">
        <v>1143.44</v>
      </c>
      <c r="S24" s="10">
        <v>1458.86</v>
      </c>
      <c r="T24" s="10">
        <v>1508.66</v>
      </c>
      <c r="U24" s="18">
        <v>1246.69</v>
      </c>
      <c r="V24" s="60">
        <f t="shared" si="4"/>
        <v>15038.41</v>
      </c>
      <c r="W24" s="66">
        <f t="shared" si="5"/>
        <v>108485.74</v>
      </c>
    </row>
    <row r="25" spans="1:23" ht="23.25" customHeight="1" thickBot="1">
      <c r="A25" s="41" t="s">
        <v>43</v>
      </c>
      <c r="B25" s="36" t="s">
        <v>68</v>
      </c>
      <c r="C25" s="48">
        <v>6535.29</v>
      </c>
      <c r="D25" s="79">
        <v>7713.37</v>
      </c>
      <c r="E25" s="48">
        <v>2311.27</v>
      </c>
      <c r="F25" s="48">
        <v>1642.72</v>
      </c>
      <c r="G25" s="48">
        <v>3571.95</v>
      </c>
      <c r="H25" s="48">
        <v>2410.36</v>
      </c>
      <c r="I25" s="48">
        <v>2102.35</v>
      </c>
      <c r="J25" s="9">
        <v>275.29</v>
      </c>
      <c r="K25" s="10">
        <v>84.75</v>
      </c>
      <c r="L25" s="10">
        <v>90.97</v>
      </c>
      <c r="M25" s="10">
        <v>84.13</v>
      </c>
      <c r="N25" s="10">
        <v>81.64</v>
      </c>
      <c r="O25" s="10">
        <v>126.94</v>
      </c>
      <c r="P25" s="10">
        <v>119.25</v>
      </c>
      <c r="Q25" s="10">
        <v>367.14</v>
      </c>
      <c r="R25" s="10">
        <v>85.7</v>
      </c>
      <c r="S25" s="10">
        <v>126.7</v>
      </c>
      <c r="T25" s="10">
        <v>85.66</v>
      </c>
      <c r="U25" s="18">
        <v>116.77</v>
      </c>
      <c r="V25" s="60">
        <f t="shared" si="4"/>
        <v>1644.9400000000003</v>
      </c>
      <c r="W25" s="66">
        <f t="shared" si="5"/>
        <v>27932.250000000004</v>
      </c>
    </row>
    <row r="26" spans="1:23" ht="36.75" customHeight="1" thickBot="1">
      <c r="A26" s="41" t="s">
        <v>44</v>
      </c>
      <c r="B26" s="36" t="s">
        <v>69</v>
      </c>
      <c r="C26" s="48">
        <v>10103.32</v>
      </c>
      <c r="D26" s="79">
        <v>12421.26</v>
      </c>
      <c r="E26" s="48">
        <v>12014.4</v>
      </c>
      <c r="F26" s="48">
        <v>16114.36</v>
      </c>
      <c r="G26" s="48">
        <v>13848.76</v>
      </c>
      <c r="H26" s="48">
        <v>17873.07</v>
      </c>
      <c r="I26" s="48">
        <v>15378.1</v>
      </c>
      <c r="J26" s="9">
        <f>55.21+384.6+629.54</f>
        <v>1069.35</v>
      </c>
      <c r="K26" s="10">
        <f>55+455.94+386.23</f>
        <v>897.1700000000001</v>
      </c>
      <c r="L26" s="10">
        <f>54.17+506.77+678.43</f>
        <v>1239.37</v>
      </c>
      <c r="M26" s="10">
        <f>51.14+464.49+652.93</f>
        <v>1168.56</v>
      </c>
      <c r="N26" s="10">
        <f>52.53+563.28+1597.32</f>
        <v>2213.13</v>
      </c>
      <c r="O26" s="10">
        <f>776.09+61.64+461.28</f>
        <v>1299.01</v>
      </c>
      <c r="P26" s="10">
        <f>67.45+405.97+724.76</f>
        <v>1198.18</v>
      </c>
      <c r="Q26" s="10">
        <f>73.11+374.59+863.85</f>
        <v>1311.55</v>
      </c>
      <c r="R26" s="10">
        <f>741.64+58.79+475.06</f>
        <v>1275.49</v>
      </c>
      <c r="S26" s="10">
        <f>75.5+536.89+783.19</f>
        <v>1395.58</v>
      </c>
      <c r="T26" s="10">
        <f>69.28+625.47+1235.98</f>
        <v>1930.73</v>
      </c>
      <c r="U26" s="18">
        <f>71.39+630.22+524.39</f>
        <v>1226</v>
      </c>
      <c r="V26" s="60">
        <f t="shared" si="4"/>
        <v>16224.119999999999</v>
      </c>
      <c r="W26" s="66">
        <f t="shared" si="5"/>
        <v>113977.39000000001</v>
      </c>
    </row>
    <row r="27" spans="1:23" ht="15.75" customHeight="1" thickBot="1">
      <c r="A27" s="41" t="s">
        <v>59</v>
      </c>
      <c r="B27" s="36" t="s">
        <v>11</v>
      </c>
      <c r="C27" s="48">
        <v>61946.79</v>
      </c>
      <c r="D27" s="79">
        <v>119775.02</v>
      </c>
      <c r="E27" s="48">
        <v>151317.6</v>
      </c>
      <c r="F27" s="48">
        <v>159208.51</v>
      </c>
      <c r="G27" s="48">
        <v>163013.36</v>
      </c>
      <c r="H27" s="48">
        <v>185667.27</v>
      </c>
      <c r="I27" s="48">
        <v>173020.16</v>
      </c>
      <c r="J27" s="9">
        <f>26337.52-11686.28</f>
        <v>14651.24</v>
      </c>
      <c r="K27" s="10">
        <f>24135.3-10532.14</f>
        <v>13603.16</v>
      </c>
      <c r="L27" s="10">
        <f>28086.65-14029.79</f>
        <v>14056.86</v>
      </c>
      <c r="M27" s="10">
        <f>28293.08-14090.34</f>
        <v>14202.740000000002</v>
      </c>
      <c r="N27" s="10">
        <f>1778.07+8728.74+3147.44+630.24</f>
        <v>14284.49</v>
      </c>
      <c r="O27" s="10">
        <f>28054.36-13690.69</f>
        <v>14363.67</v>
      </c>
      <c r="P27" s="10">
        <f>27602.73-11615.48</f>
        <v>15987.25</v>
      </c>
      <c r="Q27" s="10">
        <f>27811.27-13195.2</f>
        <v>14616.07</v>
      </c>
      <c r="R27" s="10">
        <f>27001.81-12507.14</f>
        <v>14494.670000000002</v>
      </c>
      <c r="S27" s="10">
        <f>29014.41-14293.36</f>
        <v>14721.05</v>
      </c>
      <c r="T27" s="10">
        <f>27061.19-12839.74</f>
        <v>14221.449999999999</v>
      </c>
      <c r="U27" s="18">
        <f>32370.11-17301.38</f>
        <v>15068.73</v>
      </c>
      <c r="V27" s="60">
        <f t="shared" si="4"/>
        <v>174271.38000000003</v>
      </c>
      <c r="W27" s="66">
        <f t="shared" si="5"/>
        <v>1188220.09</v>
      </c>
    </row>
    <row r="28" spans="1:23" ht="13.5" customHeight="1" thickBot="1">
      <c r="A28" s="41" t="s">
        <v>60</v>
      </c>
      <c r="B28" s="37" t="s">
        <v>4</v>
      </c>
      <c r="C28" s="49">
        <v>8049.09</v>
      </c>
      <c r="D28" s="80">
        <v>19737.62</v>
      </c>
      <c r="E28" s="49">
        <v>13278.43</v>
      </c>
      <c r="F28" s="49">
        <v>12143.6</v>
      </c>
      <c r="G28" s="49">
        <v>11976.43</v>
      </c>
      <c r="H28" s="49">
        <v>12331.32</v>
      </c>
      <c r="I28" s="49">
        <v>11893.55</v>
      </c>
      <c r="J28" s="11">
        <v>977.55</v>
      </c>
      <c r="K28" s="12">
        <f>113.17+952.52</f>
        <v>1065.69</v>
      </c>
      <c r="L28" s="12">
        <f>117.18+1000.63</f>
        <v>1117.81</v>
      </c>
      <c r="M28" s="12">
        <f>112.05+917.75</f>
        <v>1029.8</v>
      </c>
      <c r="N28" s="12">
        <f>117.14+957.99</f>
        <v>1075.13</v>
      </c>
      <c r="O28" s="12">
        <f>120.53+1047.8</f>
        <v>1168.33</v>
      </c>
      <c r="P28" s="12">
        <f>95+910.38</f>
        <v>1005.38</v>
      </c>
      <c r="Q28" s="12">
        <f>112.51+1038.85</f>
        <v>1151.36</v>
      </c>
      <c r="R28" s="12">
        <f>106.42+990.24</f>
        <v>1096.66</v>
      </c>
      <c r="S28" s="12">
        <f>106.64+976.68</f>
        <v>1083.32</v>
      </c>
      <c r="T28" s="12">
        <f>102.81+950.52</f>
        <v>1053.33</v>
      </c>
      <c r="U28" s="20">
        <f>110.61+1011.94</f>
        <v>1122.55</v>
      </c>
      <c r="V28" s="60">
        <f t="shared" si="4"/>
        <v>12946.91</v>
      </c>
      <c r="W28" s="66">
        <f>SUM(C28:U28)</f>
        <v>102356.95000000003</v>
      </c>
    </row>
    <row r="29" spans="1:23" ht="14.25" customHeight="1" thickBot="1">
      <c r="A29" s="41"/>
      <c r="B29" s="44" t="s">
        <v>64</v>
      </c>
      <c r="C29" s="82"/>
      <c r="D29" s="83"/>
      <c r="E29" s="82"/>
      <c r="F29" s="82"/>
      <c r="G29" s="84">
        <f>G8*5%</f>
        <v>16084.728000000001</v>
      </c>
      <c r="H29" s="84">
        <f>H8*5%</f>
        <v>16065.04</v>
      </c>
      <c r="I29" s="85">
        <f>I8*5%</f>
        <v>16051.470000000001</v>
      </c>
      <c r="J29" s="84">
        <f>J8*5%</f>
        <v>1339.198</v>
      </c>
      <c r="K29" s="84">
        <f aca="true" t="shared" si="6" ref="K29:U29">K8*5%</f>
        <v>1339.888</v>
      </c>
      <c r="L29" s="84">
        <f t="shared" si="6"/>
        <v>1339.888</v>
      </c>
      <c r="M29" s="84">
        <f t="shared" si="6"/>
        <v>1339.888</v>
      </c>
      <c r="N29" s="84">
        <f t="shared" si="6"/>
        <v>1339.888</v>
      </c>
      <c r="O29" s="84">
        <f t="shared" si="6"/>
        <v>1339.888</v>
      </c>
      <c r="P29" s="84">
        <f t="shared" si="6"/>
        <v>1339.888</v>
      </c>
      <c r="Q29" s="84">
        <f t="shared" si="6"/>
        <v>1339.888</v>
      </c>
      <c r="R29" s="84">
        <f t="shared" si="6"/>
        <v>1339.888</v>
      </c>
      <c r="S29" s="84">
        <f t="shared" si="6"/>
        <v>1339.888</v>
      </c>
      <c r="T29" s="84">
        <f t="shared" si="6"/>
        <v>1339.566</v>
      </c>
      <c r="U29" s="84">
        <f t="shared" si="6"/>
        <v>1339.566</v>
      </c>
      <c r="V29" s="85">
        <f t="shared" si="4"/>
        <v>16077.322</v>
      </c>
      <c r="W29" s="69"/>
    </row>
    <row r="30" spans="1:23" ht="15" customHeight="1" thickBot="1">
      <c r="A30" s="41" t="s">
        <v>45</v>
      </c>
      <c r="B30" s="67" t="s">
        <v>55</v>
      </c>
      <c r="C30" s="68"/>
      <c r="D30" s="81"/>
      <c r="E30" s="68"/>
      <c r="F30" s="68"/>
      <c r="G30" s="68"/>
      <c r="H30" s="68"/>
      <c r="I30" s="68"/>
      <c r="J30" s="86">
        <f>SUM(J8+J9-J12)-J29</f>
        <v>2494.392</v>
      </c>
      <c r="K30" s="86">
        <f aca="true" t="shared" si="7" ref="K30:U30">SUM(K8+K9-K12)-K29</f>
        <v>4056.2220000000007</v>
      </c>
      <c r="L30" s="86">
        <f t="shared" si="7"/>
        <v>730.2819999999983</v>
      </c>
      <c r="M30" s="86">
        <f t="shared" si="7"/>
        <v>-179.06799999999657</v>
      </c>
      <c r="N30" s="86">
        <f t="shared" si="7"/>
        <v>-11653.137999999999</v>
      </c>
      <c r="O30" s="86">
        <f t="shared" si="7"/>
        <v>205.1319999999896</v>
      </c>
      <c r="P30" s="86">
        <f t="shared" si="7"/>
        <v>777.0019999999995</v>
      </c>
      <c r="Q30" s="86">
        <f t="shared" si="7"/>
        <v>568.4620000000023</v>
      </c>
      <c r="R30" s="86">
        <f t="shared" si="7"/>
        <v>1377.9219999999978</v>
      </c>
      <c r="S30" s="86">
        <f t="shared" si="7"/>
        <v>-634.6780000000044</v>
      </c>
      <c r="T30" s="86">
        <f t="shared" si="7"/>
        <v>1312.3640000000003</v>
      </c>
      <c r="U30" s="86">
        <f t="shared" si="7"/>
        <v>-3996.5560000000014</v>
      </c>
      <c r="V30" s="85">
        <f t="shared" si="4"/>
        <v>-4941.662000000013</v>
      </c>
      <c r="W30" s="69"/>
    </row>
    <row r="31" spans="1:23" ht="23.25" customHeight="1" thickBot="1">
      <c r="A31" s="41" t="s">
        <v>46</v>
      </c>
      <c r="B31" s="44" t="s">
        <v>25</v>
      </c>
      <c r="C31" s="44">
        <v>43048.53</v>
      </c>
      <c r="D31" s="19">
        <f>SUM(D8-D12)</f>
        <v>33246.98999999999</v>
      </c>
      <c r="E31" s="60">
        <f>SUM(E8-E12)</f>
        <v>26405.23999999999</v>
      </c>
      <c r="F31" s="60">
        <f>SUM(F8-F12)</f>
        <v>-2767.4599999999627</v>
      </c>
      <c r="G31" s="85">
        <f>SUM(G8-G12)-G29</f>
        <v>-21905.647999999986</v>
      </c>
      <c r="H31" s="85">
        <f>SUM(H8-H12)-H29</f>
        <v>-36010.860000000066</v>
      </c>
      <c r="I31" s="85">
        <f>SUM(I8-I12)-I29</f>
        <v>-892.7799999999988</v>
      </c>
      <c r="J31" s="91">
        <f>SUM(J8+J9-J12)-J29</f>
        <v>2494.392</v>
      </c>
      <c r="K31" s="87">
        <f>SUM(K30+J31)</f>
        <v>6550.6140000000005</v>
      </c>
      <c r="L31" s="87">
        <f aca="true" t="shared" si="8" ref="L31:U31">SUM(L30+K31)</f>
        <v>7280.895999999999</v>
      </c>
      <c r="M31" s="87">
        <f t="shared" si="8"/>
        <v>7101.828000000002</v>
      </c>
      <c r="N31" s="87">
        <f t="shared" si="8"/>
        <v>-4551.309999999997</v>
      </c>
      <c r="O31" s="87">
        <f t="shared" si="8"/>
        <v>-4346.178000000007</v>
      </c>
      <c r="P31" s="87">
        <f t="shared" si="8"/>
        <v>-3569.1760000000077</v>
      </c>
      <c r="Q31" s="87">
        <f t="shared" si="8"/>
        <v>-3000.7140000000054</v>
      </c>
      <c r="R31" s="87">
        <f t="shared" si="8"/>
        <v>-1622.7920000000076</v>
      </c>
      <c r="S31" s="87">
        <f t="shared" si="8"/>
        <v>-2257.470000000012</v>
      </c>
      <c r="T31" s="87">
        <f t="shared" si="8"/>
        <v>-945.1060000000118</v>
      </c>
      <c r="U31" s="87">
        <f t="shared" si="8"/>
        <v>-4941.662000000013</v>
      </c>
      <c r="V31" s="60"/>
      <c r="W31" s="52"/>
    </row>
    <row r="32" spans="1:23" ht="24" customHeight="1" hidden="1" thickBot="1">
      <c r="A32" s="41" t="s">
        <v>47</v>
      </c>
      <c r="B32" s="44" t="s">
        <v>26</v>
      </c>
      <c r="C32" s="44">
        <v>43048.53</v>
      </c>
      <c r="D32" s="19">
        <f>SUM(D8-D12,C32)</f>
        <v>76295.51999999999</v>
      </c>
      <c r="E32" s="60">
        <f>SUM(E8-E12,D32)</f>
        <v>102700.75999999998</v>
      </c>
      <c r="F32" s="60">
        <f>SUM(F8-F12,E32)</f>
        <v>99933.30000000002</v>
      </c>
      <c r="G32" s="84">
        <f>SUM(G31+F32)</f>
        <v>78027.65200000003</v>
      </c>
      <c r="H32" s="84">
        <f>SUM(H31+G32)</f>
        <v>42016.791999999965</v>
      </c>
      <c r="I32" s="84">
        <f>SUM(I31+H32)</f>
        <v>41124.011999999966</v>
      </c>
      <c r="J32" s="84">
        <f>SUM(J31+I32)</f>
        <v>43618.403999999966</v>
      </c>
      <c r="K32" s="87">
        <f>SUM(K30+J32)</f>
        <v>47674.62599999997</v>
      </c>
      <c r="L32" s="87">
        <f aca="true" t="shared" si="9" ref="L32:T32">SUM(L30+K32)</f>
        <v>48404.90799999997</v>
      </c>
      <c r="M32" s="87">
        <f t="shared" si="9"/>
        <v>48225.83999999997</v>
      </c>
      <c r="N32" s="87">
        <f t="shared" si="9"/>
        <v>36572.70199999997</v>
      </c>
      <c r="O32" s="87">
        <f t="shared" si="9"/>
        <v>36777.83399999996</v>
      </c>
      <c r="P32" s="87">
        <f t="shared" si="9"/>
        <v>37554.83599999996</v>
      </c>
      <c r="Q32" s="87">
        <f t="shared" si="9"/>
        <v>38123.29799999996</v>
      </c>
      <c r="R32" s="87">
        <f t="shared" si="9"/>
        <v>39501.21999999996</v>
      </c>
      <c r="S32" s="87">
        <f t="shared" si="9"/>
        <v>38866.54199999995</v>
      </c>
      <c r="T32" s="87">
        <f t="shared" si="9"/>
        <v>40178.90599999995</v>
      </c>
      <c r="U32" s="87">
        <f>SUM(U30+T32)+0.03</f>
        <v>36182.37999999995</v>
      </c>
      <c r="V32" s="60"/>
      <c r="W32" s="53"/>
    </row>
    <row r="33" spans="1:23" ht="9" customHeight="1" hidden="1" thickBot="1">
      <c r="A33" s="41" t="s">
        <v>47</v>
      </c>
      <c r="B33" s="44" t="s">
        <v>9</v>
      </c>
      <c r="C33" s="45"/>
      <c r="D33" s="45"/>
      <c r="E33" s="73"/>
      <c r="F33" s="73"/>
      <c r="G33" s="73"/>
      <c r="H33" s="73"/>
      <c r="I33" s="73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1"/>
      <c r="V33" s="60"/>
      <c r="W33" s="54"/>
    </row>
    <row r="34" spans="1:23" ht="15" customHeight="1" hidden="1" thickBot="1">
      <c r="A34" s="41" t="s">
        <v>48</v>
      </c>
      <c r="B34" s="38" t="s">
        <v>27</v>
      </c>
      <c r="C34" s="45"/>
      <c r="D34" s="45"/>
      <c r="E34" s="73"/>
      <c r="F34" s="73"/>
      <c r="G34" s="73"/>
      <c r="H34" s="73"/>
      <c r="I34" s="73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1"/>
      <c r="V34" s="61"/>
      <c r="W34" s="55"/>
    </row>
    <row r="35" spans="1:23" ht="24" customHeight="1" hidden="1" thickBot="1">
      <c r="A35" s="42" t="s">
        <v>49</v>
      </c>
      <c r="B35" s="39" t="s">
        <v>52</v>
      </c>
      <c r="C35" s="46"/>
      <c r="D35" s="46"/>
      <c r="E35" s="74"/>
      <c r="F35" s="74"/>
      <c r="G35" s="74"/>
      <c r="H35" s="74"/>
      <c r="I35" s="7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>
        <f>SUM(U31-U33)</f>
        <v>-4941.662000000013</v>
      </c>
      <c r="V35" s="62"/>
      <c r="W35" s="56"/>
    </row>
    <row r="36" spans="1:23" ht="24" customHeight="1" hidden="1" thickBot="1">
      <c r="A36" s="42" t="s">
        <v>51</v>
      </c>
      <c r="B36" s="39" t="s">
        <v>28</v>
      </c>
      <c r="C36" s="46"/>
      <c r="D36" s="46"/>
      <c r="E36" s="74"/>
      <c r="F36" s="74"/>
      <c r="G36" s="74"/>
      <c r="H36" s="74"/>
      <c r="I36" s="7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>
        <f>SUM(U32-U33)</f>
        <v>36182.37999999995</v>
      </c>
      <c r="V36" s="62"/>
      <c r="W36" s="56"/>
    </row>
    <row r="37" spans="3:23" ht="1.5" customHeight="1" hidden="1">
      <c r="C37" s="23"/>
      <c r="D37" s="23"/>
      <c r="E37" s="23"/>
      <c r="F37" s="23"/>
      <c r="G37" s="23"/>
      <c r="H37" s="23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</row>
    <row r="38" ht="15" customHeight="1" hidden="1"/>
    <row r="39" ht="0.75" customHeight="1" hidden="1"/>
    <row r="40" ht="12.75" hidden="1"/>
    <row r="41" ht="12.75" hidden="1"/>
    <row r="42" ht="12.75">
      <c r="B42" t="s">
        <v>71</v>
      </c>
    </row>
    <row r="46" ht="12.75" customHeight="1"/>
    <row r="47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2018-02-08T08:09:05Z</cp:lastPrinted>
  <dcterms:created xsi:type="dcterms:W3CDTF">2011-06-16T11:06:26Z</dcterms:created>
  <dcterms:modified xsi:type="dcterms:W3CDTF">2018-02-12T08:20:45Z</dcterms:modified>
  <cp:category/>
  <cp:version/>
  <cp:contentType/>
  <cp:contentStatus/>
</cp:coreProperties>
</file>