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<sst xmlns="http://schemas.openxmlformats.org/spreadsheetml/2006/main" count="83" uniqueCount="82">
  <si>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</si>
  <si>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</si>
  <si>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</si>
  <si>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</si>
  <si>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</si>
  <si>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</si>
  <si>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</si>
  <si>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</si>
  <si>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</si>
  <si>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</si>
  <si>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</si>
  <si>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</si>
  <si>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</si>
  <si>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</si>
  <si>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</si>
  <si>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</si>
  <si>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</si>
  <si>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</si>
  <si>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</si>
  <si>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</si>
  <si>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</si>
  <si>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</si>
  <si>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</si>
  <si>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</si>
  <si>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</si>
  <si>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</si>
  <si>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</si>
  <si>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</si>
  <si>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</si>
  <si>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</si>
  <si>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</si>
  <si>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</si>
  <si>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</si>
  <si>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</si>
  <si>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</si>
  <si>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</si>
  <si>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</si>
  <si>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</si>
  <si>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</si>
  <si>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</si>
  <si>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</si>
  <si>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</si>
  <si>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</si>
  <si>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</si>
  <si>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</si>
  <si>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</si>
  <si>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</si>
  <si>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</si>
  <si>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</si>
  <si>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</si>
  <si>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</si>
  <si>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</si>
  <si>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</si>
  <si>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Пролетарская д.9</t>
  </si>
  <si>
    <t>Итого за 2011 г</t>
  </si>
  <si>
    <t>Результат за месяц</t>
  </si>
  <si>
    <t>Дом по ул.Пролетарская д.9 вступил в ООО "Наш дом" с ноября 2009 года                   тариф 9,2 руб</t>
  </si>
  <si>
    <t>Итого за 2012 г</t>
  </si>
  <si>
    <t>4.12</t>
  </si>
  <si>
    <t>4.13</t>
  </si>
  <si>
    <t xml:space="preserve">%  оплаты 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</si>
  <si>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</si>
  <si>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</si>
  <si>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</si>
  <si>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</si>
  <si>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</si>
  <si>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сторон. орган.</t>
  </si>
  <si>
    <t xml:space="preserve">Расходы на управление,аренда, связь </t>
  </si>
  <si>
    <t>Исполнитель  вед. экономист /Викторова Л.С./</t>
  </si>
  <si>
    <t>Проверка вент. Каналов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</si>
  <si>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</si>
  <si>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</si>
  <si>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</si>
  <si>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Всего за 2009-2017</t>
  </si>
  <si>
    <t>Начислено 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</si>
  <si>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</si>
  <si>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</si>
  <si>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</si>
  <si>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</si>
  <si>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</si>
  <si>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Благоустройс территории</t>
  </si>
  <si>
    <t>Транспортные(ГСМ,зап.части,амортизация,страхован)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</si>
</sst>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1" fontId="21" fillId="0" borderId="39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1" fontId="21" fillId="0" borderId="33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1" fontId="20" fillId="0" borderId="34" xfId="0" applyNumberFormat="1" applyFon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2" fontId="20" fillId="0" borderId="43" xfId="0" applyNumberFormat="1" applyFont="1" applyBorder="1" applyAlignment="1">
      <alignment/>
    </xf>
    <xf numFmtId="0" fontId="21" fillId="0" borderId="43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wrapText="1"/>
    </xf>
    <xf numFmtId="0" fontId="26" fillId="0" borderId="46" xfId="0" applyFont="1" applyBorder="1" applyAlignment="1">
      <alignment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8" xfId="0" applyFont="1" applyBorder="1" applyAlignment="1">
      <alignment/>
    </xf>
    <xf numFmtId="1" fontId="27" fillId="0" borderId="34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1" fontId="21" fillId="0" borderId="46" xfId="0" applyNumberFormat="1" applyFont="1" applyBorder="1" applyAlignment="1">
      <alignment horizontal="center"/>
    </xf>
    <xf numFmtId="0" fontId="21" fillId="0" borderId="44" xfId="0" applyFont="1" applyBorder="1" applyAlignment="1">
      <alignment/>
    </xf>
    <xf numFmtId="2" fontId="21" fillId="0" borderId="23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B10">
      <selection activeCell="N24" sqref="N24"/>
    </sheetView>
  </sheetViews>
  <sheetFormatPr defaultColWidth="9.00390625" defaultRowHeight="12.75"/>
  <cols>
    <col min="1" max="1" width="3.00390625" style="28" hidden="1" customWidth="1"/>
    <col min="2" max="2" width="22.25390625" style="0" customWidth="1"/>
    <col min="3" max="3" width="6.375" style="0" hidden="1" customWidth="1"/>
    <col min="4" max="4" width="7.375" style="0" hidden="1" customWidth="1"/>
    <col min="5" max="5" width="7.625" style="0" hidden="1" customWidth="1"/>
    <col min="6" max="6" width="9.00390625" style="0" hidden="1" customWidth="1"/>
    <col min="7" max="7" width="8.125" style="0" hidden="1" customWidth="1"/>
    <col min="8" max="8" width="9.00390625" style="0" hidden="1" customWidth="1"/>
    <col min="9" max="9" width="9.125" style="0" hidden="1" customWidth="1"/>
    <col min="10" max="10" width="9.00390625" style="0" hidden="1" customWidth="1"/>
    <col min="11" max="11" width="8.625" style="0" customWidth="1"/>
    <col min="12" max="12" width="9.00390625" style="0" customWidth="1"/>
    <col min="13" max="14" width="8.00390625" style="0" customWidth="1"/>
    <col min="15" max="16" width="8.25390625" style="0" customWidth="1"/>
    <col min="17" max="17" width="8.875" style="0" customWidth="1"/>
    <col min="18" max="18" width="8.125" style="0" customWidth="1"/>
    <col min="19" max="19" width="8.625" style="0" customWidth="1"/>
    <col min="20" max="22" width="8.875" style="0" customWidth="1"/>
    <col min="23" max="23" width="11.00390625" style="0" customWidth="1"/>
    <col min="24" max="24" width="10.25390625" style="0" hidden="1" customWidth="1"/>
  </cols>
  <sheetData>
    <row r="1" spans="2:29" ht="12.75" customHeight="1">
      <c r="B1" s="103" t="s">
        <v>10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3" t="s">
        <v>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3"/>
      <c r="Z3" s="3"/>
      <c r="AA3" s="3"/>
      <c r="AB3" s="3"/>
      <c r="AC3" s="3"/>
    </row>
    <row r="4" spans="2:29" ht="11.25" customHeight="1">
      <c r="B4" s="101" t="s">
        <v>12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2"/>
      <c r="Z4" s="2"/>
      <c r="AA4" s="2"/>
      <c r="AB4" s="2"/>
      <c r="AC4" s="2"/>
    </row>
    <row r="5" spans="2:29" ht="16.5" customHeight="1" thickBot="1">
      <c r="B5" s="101" t="s">
        <v>53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"/>
      <c r="Z5" s="2"/>
      <c r="AA5" s="2"/>
      <c r="AB5" s="2"/>
      <c r="AC5" s="2"/>
    </row>
    <row r="6" spans="1:29" ht="27.75" customHeight="1" thickBot="1">
      <c r="A6" s="39" t="s">
        <v>29</v>
      </c>
      <c r="B6" s="29" t="s">
        <v>8</v>
      </c>
      <c r="C6" s="42" t="s">
        <v>49</v>
      </c>
      <c r="D6" s="46" t="s">
        <v>50</v>
      </c>
      <c r="E6" s="79" t="s">
        <v>54</v>
      </c>
      <c r="F6" s="62" t="s">
        <v>57</v>
      </c>
      <c r="G6" s="62" t="s">
        <v>61</v>
      </c>
      <c r="H6" s="79" t="s">
        <v>62</v>
      </c>
      <c r="I6" s="62" t="s">
        <v>65</v>
      </c>
      <c r="J6" s="62" t="s">
        <v>71</v>
      </c>
      <c r="K6" s="6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24</v>
      </c>
      <c r="V6" s="16" t="s">
        <v>23</v>
      </c>
      <c r="W6" s="62" t="s">
        <v>72</v>
      </c>
      <c r="X6" s="57" t="s">
        <v>73</v>
      </c>
      <c r="Y6" s="1"/>
      <c r="Z6" s="1"/>
      <c r="AA6" s="1"/>
      <c r="AB6" s="1"/>
      <c r="AC6" s="1"/>
    </row>
    <row r="7" spans="1:24" ht="13.5" thickBot="1">
      <c r="A7" s="40" t="s">
        <v>30</v>
      </c>
      <c r="B7" s="30" t="s">
        <v>1</v>
      </c>
      <c r="C7" s="72">
        <v>22512.4</v>
      </c>
      <c r="D7" s="73">
        <v>134742.28</v>
      </c>
      <c r="E7" s="80">
        <v>143754.6</v>
      </c>
      <c r="F7" s="74">
        <v>144887.98</v>
      </c>
      <c r="G7" s="73">
        <v>143939.52</v>
      </c>
      <c r="H7" s="80">
        <v>143944.12</v>
      </c>
      <c r="I7" s="73">
        <v>151810.76</v>
      </c>
      <c r="J7" s="73">
        <v>145625.36</v>
      </c>
      <c r="K7" s="7">
        <v>11243.32</v>
      </c>
      <c r="L7" s="8">
        <v>11243.32</v>
      </c>
      <c r="M7" s="8">
        <v>11243.32</v>
      </c>
      <c r="N7" s="8">
        <v>11243.32</v>
      </c>
      <c r="O7" s="8">
        <v>11241.48</v>
      </c>
      <c r="P7" s="8">
        <v>11241.48</v>
      </c>
      <c r="Q7" s="8">
        <v>11241.48</v>
      </c>
      <c r="R7" s="8">
        <v>11241.48</v>
      </c>
      <c r="S7" s="8">
        <v>11241.48</v>
      </c>
      <c r="T7" s="8">
        <v>11241.48</v>
      </c>
      <c r="U7" s="8">
        <v>11241.48</v>
      </c>
      <c r="V7" s="17">
        <v>11241.48</v>
      </c>
      <c r="W7" s="63">
        <f>SUM(K7:V7)</f>
        <v>134905.11999999997</v>
      </c>
      <c r="X7" s="93">
        <f>SUM(C7:V7)</f>
        <v>1166122.14</v>
      </c>
    </row>
    <row r="8" spans="1:24" ht="13.5" thickBot="1">
      <c r="A8" s="40"/>
      <c r="B8" s="30" t="s">
        <v>74</v>
      </c>
      <c r="C8" s="72"/>
      <c r="D8" s="74"/>
      <c r="E8" s="80"/>
      <c r="F8" s="74"/>
      <c r="G8" s="74"/>
      <c r="H8" s="80"/>
      <c r="I8" s="74"/>
      <c r="J8" s="74"/>
      <c r="K8" s="7">
        <f>596.44+30.95+177.7</f>
        <v>805.0900000000001</v>
      </c>
      <c r="L8" s="8">
        <f>529.55+27.09+177.7</f>
        <v>734.3399999999999</v>
      </c>
      <c r="M8" s="8">
        <f>566.67+29.02+177.7</f>
        <v>773.3899999999999</v>
      </c>
      <c r="N8" s="8">
        <f>566.67+29.02+177.7</f>
        <v>773.3899999999999</v>
      </c>
      <c r="O8" s="8">
        <f>566.68+29.02+177.69</f>
        <v>773.3899999999999</v>
      </c>
      <c r="P8" s="8">
        <f>1507.98+30.82+44.23+122.19</f>
        <v>1705.22</v>
      </c>
      <c r="Q8" s="8">
        <f aca="true" t="shared" si="0" ref="Q8:V8">1581.74+31.13+45.29+125.48</f>
        <v>1783.64</v>
      </c>
      <c r="R8" s="8">
        <f t="shared" si="0"/>
        <v>1783.64</v>
      </c>
      <c r="S8" s="8">
        <f t="shared" si="0"/>
        <v>1783.64</v>
      </c>
      <c r="T8" s="8">
        <f t="shared" si="0"/>
        <v>1783.64</v>
      </c>
      <c r="U8" s="8">
        <f t="shared" si="0"/>
        <v>1783.64</v>
      </c>
      <c r="V8" s="17">
        <f t="shared" si="0"/>
        <v>1783.64</v>
      </c>
      <c r="W8" s="63">
        <f>SUM(K8:V8)</f>
        <v>16266.659999999998</v>
      </c>
      <c r="X8" s="93">
        <f>SUM(C8:V8)</f>
        <v>16266.659999999998</v>
      </c>
    </row>
    <row r="9" spans="1:24" ht="11.25" customHeight="1">
      <c r="A9" s="40"/>
      <c r="B9" s="30" t="s">
        <v>75</v>
      </c>
      <c r="C9" s="72"/>
      <c r="D9" s="74"/>
      <c r="E9" s="80"/>
      <c r="F9" s="74"/>
      <c r="G9" s="74"/>
      <c r="H9" s="80"/>
      <c r="I9" s="74"/>
      <c r="J9" s="74"/>
      <c r="K9" s="7">
        <v>912.22</v>
      </c>
      <c r="L9" s="8">
        <v>938.45</v>
      </c>
      <c r="M9" s="8">
        <v>938.45</v>
      </c>
      <c r="N9" s="8">
        <v>938.45</v>
      </c>
      <c r="O9" s="8">
        <v>938.45</v>
      </c>
      <c r="P9" s="8">
        <v>1000.28</v>
      </c>
      <c r="Q9" s="8">
        <v>1009.28</v>
      </c>
      <c r="R9" s="8">
        <v>1009.28</v>
      </c>
      <c r="S9" s="8">
        <v>1009.28</v>
      </c>
      <c r="T9" s="8">
        <v>1009.28</v>
      </c>
      <c r="U9" s="8">
        <v>1009.28</v>
      </c>
      <c r="V9" s="17">
        <v>1009.28</v>
      </c>
      <c r="W9" s="63">
        <f>SUM(K9:V9)</f>
        <v>11721.980000000001</v>
      </c>
      <c r="X9" s="93">
        <f>SUM(C9:V9)</f>
        <v>11721.980000000001</v>
      </c>
    </row>
    <row r="10" spans="1:24" ht="12.75">
      <c r="A10" s="40" t="s">
        <v>31</v>
      </c>
      <c r="B10" s="31" t="s">
        <v>2</v>
      </c>
      <c r="C10" s="75">
        <v>7848.48</v>
      </c>
      <c r="D10" s="76">
        <v>116643.12</v>
      </c>
      <c r="E10" s="81">
        <v>144238.42</v>
      </c>
      <c r="F10" s="76">
        <v>150866.3</v>
      </c>
      <c r="G10" s="76">
        <v>143490.76</v>
      </c>
      <c r="H10" s="81">
        <v>144385.75</v>
      </c>
      <c r="I10" s="76">
        <v>149189.32</v>
      </c>
      <c r="J10" s="76">
        <v>143994.78</v>
      </c>
      <c r="K10" s="9">
        <v>10791.6</v>
      </c>
      <c r="L10" s="10">
        <v>11533.43</v>
      </c>
      <c r="M10" s="10">
        <v>12944.36</v>
      </c>
      <c r="N10" s="10">
        <v>12048.33</v>
      </c>
      <c r="O10" s="10">
        <v>15751.71</v>
      </c>
      <c r="P10" s="10">
        <v>12953.32</v>
      </c>
      <c r="Q10" s="10">
        <v>13087.7</v>
      </c>
      <c r="R10" s="10">
        <v>13514.21</v>
      </c>
      <c r="S10" s="10">
        <v>15087.38</v>
      </c>
      <c r="T10" s="10">
        <v>14321.06</v>
      </c>
      <c r="U10" s="10">
        <v>14074.23</v>
      </c>
      <c r="V10" s="18">
        <v>14056.22</v>
      </c>
      <c r="W10" s="63">
        <f>SUM(K10:V10)</f>
        <v>160163.55000000002</v>
      </c>
      <c r="X10" s="94">
        <f>SUM(C10:V10)</f>
        <v>1160820.48</v>
      </c>
    </row>
    <row r="11" spans="1:24" ht="15" customHeight="1" thickBot="1">
      <c r="A11" s="40" t="s">
        <v>32</v>
      </c>
      <c r="B11" s="32" t="s">
        <v>60</v>
      </c>
      <c r="C11" s="56">
        <f aca="true" t="shared" si="1" ref="C11:K11">SUM(C10/C7*100)</f>
        <v>34.862919990760645</v>
      </c>
      <c r="D11" s="64">
        <f t="shared" si="1"/>
        <v>86.56757181190639</v>
      </c>
      <c r="E11" s="56">
        <f t="shared" si="1"/>
        <v>100.33655966487333</v>
      </c>
      <c r="F11" s="64">
        <f t="shared" si="1"/>
        <v>104.12616698776529</v>
      </c>
      <c r="G11" s="64">
        <f t="shared" si="1"/>
        <v>99.68823016778158</v>
      </c>
      <c r="H11" s="98">
        <f t="shared" si="1"/>
        <v>100.30680655798932</v>
      </c>
      <c r="I11" s="64">
        <f>SUM(I10/I7*100)</f>
        <v>98.27321857818247</v>
      </c>
      <c r="J11" s="64">
        <f>SUM(J10/J7*100)</f>
        <v>98.88029118005271</v>
      </c>
      <c r="K11" s="22">
        <f t="shared" si="1"/>
        <v>95.98232550527781</v>
      </c>
      <c r="L11" s="22">
        <f aca="true" t="shared" si="2" ref="L11:V11">SUM(L10/L7*100)</f>
        <v>102.58028767303608</v>
      </c>
      <c r="M11" s="22">
        <f t="shared" si="2"/>
        <v>115.12933902085862</v>
      </c>
      <c r="N11" s="22">
        <f t="shared" si="2"/>
        <v>107.15989583148038</v>
      </c>
      <c r="O11" s="22">
        <f t="shared" si="2"/>
        <v>140.12131854524492</v>
      </c>
      <c r="P11" s="22">
        <f t="shared" si="2"/>
        <v>115.22788814284239</v>
      </c>
      <c r="Q11" s="22">
        <f t="shared" si="2"/>
        <v>116.42328234360602</v>
      </c>
      <c r="R11" s="22">
        <f t="shared" si="2"/>
        <v>120.21735572184444</v>
      </c>
      <c r="S11" s="22">
        <f t="shared" si="2"/>
        <v>134.21168742905738</v>
      </c>
      <c r="T11" s="22">
        <f t="shared" si="2"/>
        <v>127.39479143315648</v>
      </c>
      <c r="U11" s="22">
        <f t="shared" si="2"/>
        <v>125.19908410636322</v>
      </c>
      <c r="V11" s="56">
        <f t="shared" si="2"/>
        <v>125.03887388493331</v>
      </c>
      <c r="W11" s="68">
        <f>SUM(W10/W7*100)</f>
        <v>118.72310702514484</v>
      </c>
      <c r="X11" s="95">
        <f>SUM(X10/X7*100)</f>
        <v>99.54535980253321</v>
      </c>
    </row>
    <row r="12" spans="1:24" ht="13.5" thickBot="1">
      <c r="A12" s="40" t="s">
        <v>33</v>
      </c>
      <c r="B12" s="33" t="s">
        <v>3</v>
      </c>
      <c r="C12" s="19">
        <v>11518.21</v>
      </c>
      <c r="D12" s="65">
        <f aca="true" t="shared" si="3" ref="D12:K12">SUM(D13:D28)</f>
        <v>105158.66000000002</v>
      </c>
      <c r="E12" s="19">
        <f t="shared" si="3"/>
        <v>134708.41</v>
      </c>
      <c r="F12" s="65">
        <f t="shared" si="3"/>
        <v>134327.66999999998</v>
      </c>
      <c r="G12" s="65">
        <f t="shared" si="3"/>
        <v>138910</v>
      </c>
      <c r="H12" s="99">
        <f t="shared" si="3"/>
        <v>157706.49000000002</v>
      </c>
      <c r="I12" s="65">
        <f>SUM(I13:I28)</f>
        <v>175478.53999999998</v>
      </c>
      <c r="J12" s="65">
        <f>SUM(J13:J28)</f>
        <v>176605.22</v>
      </c>
      <c r="K12" s="13">
        <f t="shared" si="3"/>
        <v>13241.29</v>
      </c>
      <c r="L12" s="13">
        <f aca="true" t="shared" si="4" ref="L12:V12">SUM(L13:L28)</f>
        <v>12720.67</v>
      </c>
      <c r="M12" s="13">
        <f t="shared" si="4"/>
        <v>17413.91</v>
      </c>
      <c r="N12" s="13">
        <f t="shared" si="4"/>
        <v>13305.46</v>
      </c>
      <c r="O12" s="13">
        <f t="shared" si="4"/>
        <v>13779.730000000001</v>
      </c>
      <c r="P12" s="13">
        <f t="shared" si="4"/>
        <v>16411.97</v>
      </c>
      <c r="Q12" s="13">
        <f t="shared" si="4"/>
        <v>14765.060000000001</v>
      </c>
      <c r="R12" s="13">
        <f t="shared" si="4"/>
        <v>15646.440000000002</v>
      </c>
      <c r="S12" s="13">
        <f t="shared" si="4"/>
        <v>21727.299999999996</v>
      </c>
      <c r="T12" s="13">
        <f t="shared" si="4"/>
        <v>13348.37</v>
      </c>
      <c r="U12" s="13">
        <f t="shared" si="4"/>
        <v>14611.65</v>
      </c>
      <c r="V12" s="19">
        <f t="shared" si="4"/>
        <v>15326.089999999998</v>
      </c>
      <c r="W12" s="65">
        <f>SUM(K12:V12)</f>
        <v>182297.93999999997</v>
      </c>
      <c r="X12" s="96">
        <f>SUM(C12:V12)</f>
        <v>1216711.14</v>
      </c>
    </row>
    <row r="13" spans="1:24" ht="13.5" thickBot="1">
      <c r="A13" s="40" t="s">
        <v>34</v>
      </c>
      <c r="B13" s="34" t="s">
        <v>5</v>
      </c>
      <c r="C13" s="50"/>
      <c r="D13" s="51">
        <v>20822.14</v>
      </c>
      <c r="E13" s="82">
        <v>23235.3</v>
      </c>
      <c r="F13" s="51">
        <v>22994.37</v>
      </c>
      <c r="G13" s="51">
        <v>30235.88</v>
      </c>
      <c r="H13" s="82">
        <v>36624.51</v>
      </c>
      <c r="I13" s="51">
        <v>34515.56</v>
      </c>
      <c r="J13" s="51">
        <v>33345.25</v>
      </c>
      <c r="K13" s="7">
        <f>2597+31.96</f>
        <v>2628.96</v>
      </c>
      <c r="L13" s="8">
        <f>2597+150.22</f>
        <v>2747.22</v>
      </c>
      <c r="M13" s="8">
        <f>2597+88.21</f>
        <v>2685.21</v>
      </c>
      <c r="N13" s="8">
        <f>2597+279.54</f>
        <v>2876.54</v>
      </c>
      <c r="O13" s="8">
        <f>2544+136.9</f>
        <v>2680.9</v>
      </c>
      <c r="P13" s="8">
        <f>2597+85.29</f>
        <v>2682.29</v>
      </c>
      <c r="Q13" s="8">
        <f>2597+134.36</f>
        <v>2731.36</v>
      </c>
      <c r="R13" s="8">
        <f>2597+156.28</f>
        <v>2753.28</v>
      </c>
      <c r="S13" s="8">
        <f>2491+155.5</f>
        <v>2646.5</v>
      </c>
      <c r="T13" s="8">
        <f>2597+167.99</f>
        <v>2764.99</v>
      </c>
      <c r="U13" s="8">
        <f>2597+146.81</f>
        <v>2743.81</v>
      </c>
      <c r="V13" s="17">
        <f>2597+147.08</f>
        <v>2744.08</v>
      </c>
      <c r="W13" s="65">
        <f aca="true" t="shared" si="5" ref="W13:W30">SUM(K13:V13)</f>
        <v>32685.14</v>
      </c>
      <c r="X13" s="96">
        <f aca="true" t="shared" si="6" ref="X13:X28">SUM(C13:V13)</f>
        <v>234458.14999999997</v>
      </c>
    </row>
    <row r="14" spans="1:24" ht="12.75" customHeight="1" thickBot="1">
      <c r="A14" s="40" t="s">
        <v>35</v>
      </c>
      <c r="B14" s="35" t="s">
        <v>66</v>
      </c>
      <c r="C14" s="52"/>
      <c r="D14" s="53">
        <v>34006.67</v>
      </c>
      <c r="E14" s="83">
        <v>11639.97</v>
      </c>
      <c r="F14" s="53">
        <v>179.55</v>
      </c>
      <c r="G14" s="53">
        <v>881.16</v>
      </c>
      <c r="H14" s="83">
        <v>5083.82</v>
      </c>
      <c r="I14" s="53">
        <v>9710.06</v>
      </c>
      <c r="J14" s="53">
        <v>86.9</v>
      </c>
      <c r="K14" s="9"/>
      <c r="L14" s="10"/>
      <c r="M14" s="10">
        <v>4071.11</v>
      </c>
      <c r="N14" s="10"/>
      <c r="O14" s="10">
        <v>320</v>
      </c>
      <c r="P14" s="10"/>
      <c r="Q14" s="10"/>
      <c r="R14" s="10"/>
      <c r="S14" s="10"/>
      <c r="T14" s="10"/>
      <c r="U14" s="10"/>
      <c r="V14" s="18">
        <v>329.2</v>
      </c>
      <c r="W14" s="65">
        <f t="shared" si="5"/>
        <v>4720.31</v>
      </c>
      <c r="X14" s="96">
        <f>SUM(C14:V14)</f>
        <v>66308.44</v>
      </c>
    </row>
    <row r="15" spans="1:24" ht="16.5" customHeight="1" thickBot="1">
      <c r="A15" s="40" t="s">
        <v>36</v>
      </c>
      <c r="B15" s="32" t="s">
        <v>6</v>
      </c>
      <c r="C15" s="52"/>
      <c r="D15" s="53">
        <v>0</v>
      </c>
      <c r="E15" s="83">
        <v>5150.05</v>
      </c>
      <c r="F15" s="53">
        <v>0</v>
      </c>
      <c r="G15" s="53">
        <v>0</v>
      </c>
      <c r="H15" s="83">
        <v>3210.6</v>
      </c>
      <c r="I15" s="53">
        <v>0</v>
      </c>
      <c r="J15" s="53">
        <v>0</v>
      </c>
      <c r="K15" s="9"/>
      <c r="L15" s="10"/>
      <c r="M15" s="10"/>
      <c r="N15" s="10"/>
      <c r="O15" s="10"/>
      <c r="P15" s="10"/>
      <c r="Q15" s="10"/>
      <c r="R15" s="10"/>
      <c r="S15" s="10">
        <v>4319.9</v>
      </c>
      <c r="T15" s="10"/>
      <c r="U15" s="10"/>
      <c r="V15" s="18"/>
      <c r="W15" s="65">
        <f t="shared" si="5"/>
        <v>4319.9</v>
      </c>
      <c r="X15" s="96">
        <f t="shared" si="6"/>
        <v>12680.55</v>
      </c>
    </row>
    <row r="16" spans="1:24" ht="14.25" customHeight="1" thickBot="1">
      <c r="A16" s="40" t="s">
        <v>37</v>
      </c>
      <c r="B16" s="35" t="s">
        <v>64</v>
      </c>
      <c r="C16" s="52"/>
      <c r="D16" s="53">
        <v>6937.51</v>
      </c>
      <c r="E16" s="83">
        <v>13771.29</v>
      </c>
      <c r="F16" s="53">
        <v>8005.28</v>
      </c>
      <c r="G16" s="53">
        <v>3042.19</v>
      </c>
      <c r="H16" s="83">
        <v>5781.61</v>
      </c>
      <c r="I16" s="53">
        <v>3782.05</v>
      </c>
      <c r="J16" s="53">
        <v>23229.6</v>
      </c>
      <c r="K16" s="9">
        <v>126</v>
      </c>
      <c r="L16" s="10">
        <v>144</v>
      </c>
      <c r="M16" s="10">
        <v>188</v>
      </c>
      <c r="N16" s="10">
        <v>144</v>
      </c>
      <c r="O16" s="10"/>
      <c r="P16" s="10">
        <v>2223.32</v>
      </c>
      <c r="Q16" s="10">
        <v>75</v>
      </c>
      <c r="R16" s="10">
        <f>2207+95</f>
        <v>2302</v>
      </c>
      <c r="S16" s="10">
        <v>3215</v>
      </c>
      <c r="T16" s="10">
        <v>90</v>
      </c>
      <c r="U16" s="10">
        <v>60</v>
      </c>
      <c r="V16" s="18">
        <v>75</v>
      </c>
      <c r="W16" s="65">
        <f t="shared" si="5"/>
        <v>8642.32</v>
      </c>
      <c r="X16" s="96">
        <f t="shared" si="6"/>
        <v>73191.85</v>
      </c>
    </row>
    <row r="17" spans="1:24" ht="14.25" customHeight="1" thickBot="1">
      <c r="A17" s="40"/>
      <c r="B17" s="35" t="s">
        <v>69</v>
      </c>
      <c r="C17" s="52"/>
      <c r="D17" s="53"/>
      <c r="E17" s="83"/>
      <c r="F17" s="53"/>
      <c r="G17" s="53"/>
      <c r="H17" s="83"/>
      <c r="I17" s="53">
        <v>1300</v>
      </c>
      <c r="J17" s="53">
        <v>1500</v>
      </c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8">
        <v>800</v>
      </c>
      <c r="W17" s="65">
        <f>SUM(K17:V17)</f>
        <v>800</v>
      </c>
      <c r="X17" s="96">
        <f>SUM(C17:V17)</f>
        <v>3600</v>
      </c>
    </row>
    <row r="18" spans="1:24" ht="13.5" customHeight="1" thickBot="1">
      <c r="A18" s="40" t="s">
        <v>38</v>
      </c>
      <c r="B18" s="35" t="s">
        <v>80</v>
      </c>
      <c r="C18" s="52">
        <v>0</v>
      </c>
      <c r="D18" s="53">
        <v>0</v>
      </c>
      <c r="E18" s="83">
        <v>0</v>
      </c>
      <c r="F18" s="53">
        <v>256</v>
      </c>
      <c r="G18" s="53">
        <v>0</v>
      </c>
      <c r="H18" s="83">
        <v>1049.23</v>
      </c>
      <c r="I18" s="53">
        <v>10272.96</v>
      </c>
      <c r="J18" s="53">
        <v>1086</v>
      </c>
      <c r="K18" s="9">
        <v>8</v>
      </c>
      <c r="L18" s="10">
        <v>94.94</v>
      </c>
      <c r="M18" s="10"/>
      <c r="N18" s="10"/>
      <c r="O18" s="10"/>
      <c r="P18" s="10"/>
      <c r="Q18" s="10"/>
      <c r="R18" s="10"/>
      <c r="S18" s="10"/>
      <c r="T18" s="10"/>
      <c r="U18" s="10"/>
      <c r="V18" s="18">
        <v>93.29</v>
      </c>
      <c r="W18" s="65">
        <f>SUM(K18:V18)</f>
        <v>196.23000000000002</v>
      </c>
      <c r="X18" s="96">
        <f>SUM(C18:V18)</f>
        <v>12860.42</v>
      </c>
    </row>
    <row r="19" spans="1:24" ht="14.25" customHeight="1" thickBot="1">
      <c r="A19" s="40" t="s">
        <v>39</v>
      </c>
      <c r="B19" s="35" t="s">
        <v>76</v>
      </c>
      <c r="C19" s="52"/>
      <c r="D19" s="53">
        <v>5362.53</v>
      </c>
      <c r="E19" s="83">
        <v>7127</v>
      </c>
      <c r="F19" s="53">
        <v>4762.2</v>
      </c>
      <c r="G19" s="53">
        <v>0</v>
      </c>
      <c r="H19" s="83"/>
      <c r="I19" s="53">
        <v>0</v>
      </c>
      <c r="J19" s="53">
        <v>0</v>
      </c>
      <c r="K19" s="9">
        <v>596.44</v>
      </c>
      <c r="L19" s="10">
        <v>529.55</v>
      </c>
      <c r="M19" s="10">
        <v>566.67</v>
      </c>
      <c r="N19" s="10">
        <v>566.67</v>
      </c>
      <c r="O19" s="10">
        <v>566.68</v>
      </c>
      <c r="P19" s="10">
        <v>1507.98</v>
      </c>
      <c r="Q19" s="10">
        <v>1581.74</v>
      </c>
      <c r="R19" s="10">
        <v>1581.74</v>
      </c>
      <c r="S19" s="10">
        <v>1581.74</v>
      </c>
      <c r="T19" s="10">
        <v>1581.74</v>
      </c>
      <c r="U19" s="10">
        <v>1581.74</v>
      </c>
      <c r="V19" s="10">
        <v>1581.74</v>
      </c>
      <c r="W19" s="65">
        <f t="shared" si="5"/>
        <v>13824.429999999998</v>
      </c>
      <c r="X19" s="96">
        <f t="shared" si="6"/>
        <v>31076.160000000003</v>
      </c>
    </row>
    <row r="20" spans="1:24" ht="14.25" customHeight="1" thickBot="1">
      <c r="A20" s="40"/>
      <c r="B20" s="35" t="s">
        <v>78</v>
      </c>
      <c r="C20" s="52"/>
      <c r="D20" s="53"/>
      <c r="E20" s="83"/>
      <c r="F20" s="53"/>
      <c r="G20" s="53"/>
      <c r="H20" s="83"/>
      <c r="I20" s="53"/>
      <c r="J20" s="53"/>
      <c r="K20" s="9"/>
      <c r="L20" s="10"/>
      <c r="M20" s="10"/>
      <c r="N20" s="10"/>
      <c r="O20" s="10">
        <v>123.76</v>
      </c>
      <c r="P20" s="10">
        <v>63.82</v>
      </c>
      <c r="Q20" s="10">
        <v>33.19</v>
      </c>
      <c r="R20" s="10">
        <v>33.19</v>
      </c>
      <c r="S20" s="10">
        <v>33.19</v>
      </c>
      <c r="T20" s="10">
        <v>33.19</v>
      </c>
      <c r="U20" s="10">
        <v>33.19</v>
      </c>
      <c r="V20" s="10">
        <v>33.19</v>
      </c>
      <c r="W20" s="65">
        <f>SUM(K20:V20)</f>
        <v>386.71999999999997</v>
      </c>
      <c r="X20" s="96">
        <f>SUM(C20:V20)</f>
        <v>386.71999999999997</v>
      </c>
    </row>
    <row r="21" spans="1:24" ht="14.25" customHeight="1" thickBot="1">
      <c r="A21" s="40"/>
      <c r="B21" s="35" t="s">
        <v>77</v>
      </c>
      <c r="C21" s="52"/>
      <c r="D21" s="53"/>
      <c r="E21" s="83"/>
      <c r="F21" s="53"/>
      <c r="G21" s="53"/>
      <c r="H21" s="83"/>
      <c r="I21" s="53"/>
      <c r="J21" s="53"/>
      <c r="K21" s="9">
        <v>177.7</v>
      </c>
      <c r="L21" s="10">
        <v>189.49</v>
      </c>
      <c r="M21" s="10">
        <v>189.49</v>
      </c>
      <c r="N21" s="10">
        <v>189.49</v>
      </c>
      <c r="O21" s="10">
        <v>189.49</v>
      </c>
      <c r="P21" s="10">
        <v>130.3</v>
      </c>
      <c r="Q21" s="10">
        <v>134.11</v>
      </c>
      <c r="R21" s="10">
        <v>133.81</v>
      </c>
      <c r="S21" s="10">
        <v>133.81</v>
      </c>
      <c r="T21" s="10">
        <v>133.81</v>
      </c>
      <c r="U21" s="10">
        <v>133.81</v>
      </c>
      <c r="V21" s="10">
        <v>133.81</v>
      </c>
      <c r="W21" s="65">
        <f>SUM(K21:V21)</f>
        <v>1869.12</v>
      </c>
      <c r="X21" s="96">
        <f>SUM(C21:V21)</f>
        <v>1869.12</v>
      </c>
    </row>
    <row r="22" spans="1:24" ht="14.25" customHeight="1" thickBot="1">
      <c r="A22" s="40"/>
      <c r="B22" s="35" t="s">
        <v>79</v>
      </c>
      <c r="C22" s="52"/>
      <c r="D22" s="53"/>
      <c r="E22" s="83"/>
      <c r="F22" s="53"/>
      <c r="G22" s="53"/>
      <c r="H22" s="83"/>
      <c r="I22" s="53"/>
      <c r="J22" s="53"/>
      <c r="K22" s="9"/>
      <c r="L22" s="10"/>
      <c r="M22" s="10"/>
      <c r="N22" s="10"/>
      <c r="O22" s="10"/>
      <c r="P22" s="10">
        <v>47.14</v>
      </c>
      <c r="Q22" s="10">
        <v>48.28</v>
      </c>
      <c r="R22" s="10">
        <v>48.28</v>
      </c>
      <c r="S22" s="10">
        <v>48.28</v>
      </c>
      <c r="T22" s="10">
        <v>48.28</v>
      </c>
      <c r="U22" s="10">
        <v>48.28</v>
      </c>
      <c r="V22" s="10">
        <v>48.28</v>
      </c>
      <c r="W22" s="65">
        <f>SUM(K22:V22)</f>
        <v>336.81999999999994</v>
      </c>
      <c r="X22" s="96">
        <f>SUM(C22:V22)</f>
        <v>336.81999999999994</v>
      </c>
    </row>
    <row r="23" spans="1:24" ht="14.25" customHeight="1" thickBot="1">
      <c r="A23" s="40" t="s">
        <v>40</v>
      </c>
      <c r="B23" s="35" t="s">
        <v>7</v>
      </c>
      <c r="C23" s="52"/>
      <c r="D23" s="53">
        <v>1024.71</v>
      </c>
      <c r="E23" s="83">
        <v>427.89</v>
      </c>
      <c r="F23" s="53">
        <v>290.17</v>
      </c>
      <c r="G23" s="53">
        <v>462.63</v>
      </c>
      <c r="H23" s="83">
        <v>620.61</v>
      </c>
      <c r="I23" s="53">
        <v>724.26</v>
      </c>
      <c r="J23" s="53">
        <v>442.39</v>
      </c>
      <c r="K23" s="9">
        <v>125.11</v>
      </c>
      <c r="L23" s="10"/>
      <c r="M23" s="10"/>
      <c r="N23" s="10">
        <v>150.56</v>
      </c>
      <c r="O23" s="10"/>
      <c r="P23" s="10">
        <v>127.97</v>
      </c>
      <c r="Q23" s="10"/>
      <c r="R23" s="10"/>
      <c r="S23" s="10">
        <v>136.81</v>
      </c>
      <c r="T23" s="10"/>
      <c r="U23" s="10"/>
      <c r="V23" s="18">
        <v>153.57</v>
      </c>
      <c r="W23" s="65">
        <f t="shared" si="5"/>
        <v>694.02</v>
      </c>
      <c r="X23" s="96">
        <f t="shared" si="6"/>
        <v>4686.680000000001</v>
      </c>
    </row>
    <row r="24" spans="1:24" ht="21.75" customHeight="1" thickBot="1">
      <c r="A24" s="40" t="s">
        <v>41</v>
      </c>
      <c r="B24" s="35" t="s">
        <v>81</v>
      </c>
      <c r="C24" s="52"/>
      <c r="D24" s="53">
        <v>1660.76</v>
      </c>
      <c r="E24" s="83">
        <v>5929.12</v>
      </c>
      <c r="F24" s="53">
        <v>8607.48</v>
      </c>
      <c r="G24" s="53">
        <v>6720.91</v>
      </c>
      <c r="H24" s="83">
        <v>4982.6</v>
      </c>
      <c r="I24" s="53">
        <v>5873.84</v>
      </c>
      <c r="J24" s="53">
        <v>6210.95</v>
      </c>
      <c r="K24" s="9">
        <v>525.86</v>
      </c>
      <c r="L24" s="10">
        <v>491.7</v>
      </c>
      <c r="M24" s="10">
        <v>611.26</v>
      </c>
      <c r="N24" s="10">
        <v>454.28</v>
      </c>
      <c r="O24" s="10">
        <v>483.72</v>
      </c>
      <c r="P24" s="10">
        <v>543.98</v>
      </c>
      <c r="Q24" s="10">
        <v>440.88</v>
      </c>
      <c r="R24" s="10">
        <v>509.95</v>
      </c>
      <c r="S24" s="10">
        <v>479.67</v>
      </c>
      <c r="T24" s="10">
        <v>611.98</v>
      </c>
      <c r="U24" s="10">
        <v>633.02</v>
      </c>
      <c r="V24" s="18">
        <v>523.1</v>
      </c>
      <c r="W24" s="65">
        <f t="shared" si="5"/>
        <v>6309.4</v>
      </c>
      <c r="X24" s="96">
        <f t="shared" si="6"/>
        <v>46295.06</v>
      </c>
    </row>
    <row r="25" spans="1:24" ht="24" customHeight="1" thickBot="1">
      <c r="A25" s="40" t="s">
        <v>42</v>
      </c>
      <c r="B25" s="35" t="s">
        <v>67</v>
      </c>
      <c r="C25" s="52"/>
      <c r="D25" s="53">
        <v>2892.07</v>
      </c>
      <c r="E25" s="83">
        <v>3227.31</v>
      </c>
      <c r="F25" s="53">
        <v>969.29</v>
      </c>
      <c r="G25" s="53">
        <v>689.14</v>
      </c>
      <c r="H25" s="83">
        <v>1498.85</v>
      </c>
      <c r="I25" s="53">
        <v>1012.37</v>
      </c>
      <c r="J25" s="53">
        <v>883.57</v>
      </c>
      <c r="K25" s="9">
        <v>115.56</v>
      </c>
      <c r="L25" s="10">
        <v>35.56</v>
      </c>
      <c r="M25" s="10">
        <v>38.17</v>
      </c>
      <c r="N25" s="10">
        <v>35.3</v>
      </c>
      <c r="O25" s="10">
        <v>34.25</v>
      </c>
      <c r="P25" s="10">
        <v>53.25</v>
      </c>
      <c r="Q25" s="10">
        <v>50.02</v>
      </c>
      <c r="R25" s="10">
        <v>154.01</v>
      </c>
      <c r="S25" s="10">
        <v>35.95</v>
      </c>
      <c r="T25" s="10">
        <v>53.15</v>
      </c>
      <c r="U25" s="10">
        <v>35.94</v>
      </c>
      <c r="V25" s="18">
        <v>49</v>
      </c>
      <c r="W25" s="65">
        <f t="shared" si="5"/>
        <v>690.1600000000001</v>
      </c>
      <c r="X25" s="96">
        <f t="shared" si="6"/>
        <v>11862.76</v>
      </c>
    </row>
    <row r="26" spans="1:24" ht="36" customHeight="1" thickBot="1">
      <c r="A26" s="40" t="s">
        <v>43</v>
      </c>
      <c r="B26" s="35" t="s">
        <v>70</v>
      </c>
      <c r="C26" s="52"/>
      <c r="D26" s="53">
        <v>890.6</v>
      </c>
      <c r="E26" s="83">
        <v>5578.95</v>
      </c>
      <c r="F26" s="53">
        <v>5038.65</v>
      </c>
      <c r="G26" s="53">
        <v>6760.23</v>
      </c>
      <c r="H26" s="83">
        <v>5812.21</v>
      </c>
      <c r="I26" s="53">
        <v>7558.15</v>
      </c>
      <c r="J26" s="53">
        <v>6463</v>
      </c>
      <c r="K26" s="9">
        <f>23.18+161.45+264.27</f>
        <v>448.9</v>
      </c>
      <c r="L26" s="10">
        <f>23.08+191.3+162.05</f>
        <v>376.43</v>
      </c>
      <c r="M26" s="10">
        <f>22.73+212.62+284.61</f>
        <v>519.96</v>
      </c>
      <c r="N26" s="10">
        <f>21.46+194.88+273.95</f>
        <v>490.28999999999996</v>
      </c>
      <c r="O26" s="10">
        <f>22.04+236.29+670.07</f>
        <v>928.4000000000001</v>
      </c>
      <c r="P26" s="10">
        <f>325.56+25.86+193.5</f>
        <v>544.9200000000001</v>
      </c>
      <c r="Q26" s="10">
        <f>28.29+170.3+304.03</f>
        <v>502.62</v>
      </c>
      <c r="R26" s="10">
        <f>30.67+157.14+362.38</f>
        <v>550.19</v>
      </c>
      <c r="S26" s="10">
        <f>311.11+24.66+199.29</f>
        <v>535.0600000000001</v>
      </c>
      <c r="T26" s="10">
        <f>31.67+225.22+328.54</f>
        <v>585.4300000000001</v>
      </c>
      <c r="U26" s="10">
        <f>29.07+262.44+518.61</f>
        <v>810.12</v>
      </c>
      <c r="V26" s="18">
        <f>29.95+264.44+220.03</f>
        <v>514.42</v>
      </c>
      <c r="W26" s="65">
        <f t="shared" si="5"/>
        <v>6806.740000000001</v>
      </c>
      <c r="X26" s="96">
        <f t="shared" si="6"/>
        <v>44908.530000000006</v>
      </c>
    </row>
    <row r="27" spans="1:24" ht="15.75" customHeight="1" thickBot="1">
      <c r="A27" s="40" t="s">
        <v>58</v>
      </c>
      <c r="B27" s="35" t="s">
        <v>11</v>
      </c>
      <c r="C27" s="52"/>
      <c r="D27" s="53">
        <v>26881.95</v>
      </c>
      <c r="E27" s="83">
        <v>50127.15</v>
      </c>
      <c r="F27" s="53">
        <v>63289.56</v>
      </c>
      <c r="G27" s="53">
        <v>66790.47</v>
      </c>
      <c r="H27" s="83">
        <v>68373.25</v>
      </c>
      <c r="I27" s="53">
        <v>74679.04</v>
      </c>
      <c r="J27" s="53">
        <v>75416.66</v>
      </c>
      <c r="K27" s="9">
        <f>13241.29-7091.03</f>
        <v>6150.260000000001</v>
      </c>
      <c r="L27" s="10">
        <f>12720.67-7015.3</f>
        <v>5705.37</v>
      </c>
      <c r="M27" s="10">
        <f>17413.91-11516.15</f>
        <v>5897.76</v>
      </c>
      <c r="N27" s="10">
        <f>13305.46-7346.53</f>
        <v>5958.929999999999</v>
      </c>
      <c r="O27" s="10">
        <f>3661.65+745.89+1320.33+264.38</f>
        <v>5992.25</v>
      </c>
      <c r="P27" s="10">
        <f>16411.97-10386.51</f>
        <v>6025.460000000001</v>
      </c>
      <c r="Q27" s="10">
        <f>14765.06-8057.67</f>
        <v>6707.389999999999</v>
      </c>
      <c r="R27" s="10">
        <f>15646.44-10515.15</f>
        <v>5131.290000000001</v>
      </c>
      <c r="S27" s="10">
        <f>21727.3-15646.87</f>
        <v>6080.4299999999985</v>
      </c>
      <c r="T27" s="10">
        <f>13348.37-8382.73</f>
        <v>4965.640000000001</v>
      </c>
      <c r="U27" s="10">
        <f>14611.65-8644.41</f>
        <v>5967.24</v>
      </c>
      <c r="V27" s="18">
        <f>15326.09-9519.42</f>
        <v>5806.67</v>
      </c>
      <c r="W27" s="65">
        <f t="shared" si="5"/>
        <v>70388.69</v>
      </c>
      <c r="X27" s="96">
        <f t="shared" si="6"/>
        <v>495946.76999999996</v>
      </c>
    </row>
    <row r="28" spans="1:24" ht="13.5" customHeight="1" thickBot="1">
      <c r="A28" s="40" t="s">
        <v>59</v>
      </c>
      <c r="B28" s="36" t="s">
        <v>4</v>
      </c>
      <c r="C28" s="54"/>
      <c r="D28" s="55">
        <v>4679.72</v>
      </c>
      <c r="E28" s="84">
        <v>8494.38</v>
      </c>
      <c r="F28" s="55">
        <v>19935.12</v>
      </c>
      <c r="G28" s="55">
        <v>23327.39</v>
      </c>
      <c r="H28" s="84">
        <v>24669.2</v>
      </c>
      <c r="I28" s="55">
        <v>26050.25</v>
      </c>
      <c r="J28" s="55">
        <v>27940.9</v>
      </c>
      <c r="K28" s="11">
        <f>1931.01+407.49</f>
        <v>2338.5</v>
      </c>
      <c r="L28" s="12">
        <f>1968.91+28.69+408.81</f>
        <v>2406.4100000000003</v>
      </c>
      <c r="M28" s="12">
        <f>2157.5+31.44+457.34</f>
        <v>2646.28</v>
      </c>
      <c r="N28" s="12">
        <f>1984.45+29.28+425.67</f>
        <v>2439.4</v>
      </c>
      <c r="O28" s="12">
        <f>2007.72+29.13+423.43</f>
        <v>2460.28</v>
      </c>
      <c r="P28" s="12">
        <f>2007.86+29.2+424.48</f>
        <v>2461.54</v>
      </c>
      <c r="Q28" s="12">
        <f>1971.6+64.39+424.48</f>
        <v>2460.4700000000003</v>
      </c>
      <c r="R28" s="12">
        <f>1976.51+64.66+407.53</f>
        <v>2448.7</v>
      </c>
      <c r="S28" s="10">
        <f>1987.48+67.58+425.9</f>
        <v>2480.96</v>
      </c>
      <c r="T28" s="12">
        <f>1971.84+69.61+438.71</f>
        <v>2480.16</v>
      </c>
      <c r="U28" s="12">
        <f>2071.16+67.56+425.78</f>
        <v>2564.5</v>
      </c>
      <c r="V28" s="20">
        <f>1968.68+64.64+407.42</f>
        <v>2440.7400000000002</v>
      </c>
      <c r="W28" s="65">
        <f t="shared" si="5"/>
        <v>29627.940000000002</v>
      </c>
      <c r="X28" s="96">
        <f t="shared" si="6"/>
        <v>164724.9</v>
      </c>
    </row>
    <row r="29" spans="1:24" ht="13.5" customHeight="1" thickBot="1">
      <c r="A29" s="40"/>
      <c r="B29" s="47" t="s">
        <v>63</v>
      </c>
      <c r="C29" s="86"/>
      <c r="D29" s="87"/>
      <c r="E29" s="88"/>
      <c r="F29" s="87"/>
      <c r="G29" s="87"/>
      <c r="H29" s="100">
        <f>H7*5%</f>
        <v>7197.206</v>
      </c>
      <c r="I29" s="90">
        <f>I7*5%</f>
        <v>7590.5380000000005</v>
      </c>
      <c r="J29" s="89">
        <f>J7*5%</f>
        <v>7281.268</v>
      </c>
      <c r="K29" s="89">
        <f>K7*5%</f>
        <v>562.166</v>
      </c>
      <c r="L29" s="89">
        <f aca="true" t="shared" si="7" ref="L29:V29">L7*5%</f>
        <v>562.166</v>
      </c>
      <c r="M29" s="89">
        <f t="shared" si="7"/>
        <v>562.166</v>
      </c>
      <c r="N29" s="89">
        <f t="shared" si="7"/>
        <v>562.166</v>
      </c>
      <c r="O29" s="89">
        <f t="shared" si="7"/>
        <v>562.074</v>
      </c>
      <c r="P29" s="89">
        <f t="shared" si="7"/>
        <v>562.074</v>
      </c>
      <c r="Q29" s="89">
        <f t="shared" si="7"/>
        <v>562.074</v>
      </c>
      <c r="R29" s="89">
        <f t="shared" si="7"/>
        <v>562.074</v>
      </c>
      <c r="S29" s="89">
        <f t="shared" si="7"/>
        <v>562.074</v>
      </c>
      <c r="T29" s="89">
        <f t="shared" si="7"/>
        <v>562.074</v>
      </c>
      <c r="U29" s="89">
        <f t="shared" si="7"/>
        <v>562.074</v>
      </c>
      <c r="V29" s="89">
        <f t="shared" si="7"/>
        <v>562.074</v>
      </c>
      <c r="W29" s="90">
        <f t="shared" si="5"/>
        <v>6745.2559999999985</v>
      </c>
      <c r="X29" s="97"/>
    </row>
    <row r="30" spans="1:24" ht="13.5" customHeight="1" thickBot="1">
      <c r="A30" s="40" t="s">
        <v>44</v>
      </c>
      <c r="B30" s="69" t="s">
        <v>55</v>
      </c>
      <c r="C30" s="70"/>
      <c r="D30" s="71"/>
      <c r="E30" s="85"/>
      <c r="F30" s="71"/>
      <c r="G30" s="71"/>
      <c r="H30" s="85"/>
      <c r="I30" s="71"/>
      <c r="J30" s="87"/>
      <c r="K30" s="91">
        <f>SUM(K7+K8+K9-K12)-K29</f>
        <v>-842.8260000000017</v>
      </c>
      <c r="L30" s="91">
        <f aca="true" t="shared" si="8" ref="L30:V30">SUM(L7+L8+L9-L12)-L29</f>
        <v>-366.72599999999954</v>
      </c>
      <c r="M30" s="91">
        <f t="shared" si="8"/>
        <v>-5020.916</v>
      </c>
      <c r="N30" s="91">
        <f t="shared" si="8"/>
        <v>-912.4659999999993</v>
      </c>
      <c r="O30" s="91">
        <f t="shared" si="8"/>
        <v>-1388.4840000000017</v>
      </c>
      <c r="P30" s="91">
        <f t="shared" si="8"/>
        <v>-3027.0640000000017</v>
      </c>
      <c r="Q30" s="91">
        <f t="shared" si="8"/>
        <v>-1292.7340000000017</v>
      </c>
      <c r="R30" s="91">
        <f t="shared" si="8"/>
        <v>-2174.1140000000028</v>
      </c>
      <c r="S30" s="91">
        <f t="shared" si="8"/>
        <v>-8254.973999999997</v>
      </c>
      <c r="T30" s="91">
        <f t="shared" si="8"/>
        <v>123.95599999999888</v>
      </c>
      <c r="U30" s="91">
        <f t="shared" si="8"/>
        <v>-1139.324</v>
      </c>
      <c r="V30" s="91">
        <f t="shared" si="8"/>
        <v>-1853.7639999999988</v>
      </c>
      <c r="W30" s="90">
        <f t="shared" si="5"/>
        <v>-26149.43600000001</v>
      </c>
      <c r="X30" s="77"/>
    </row>
    <row r="31" spans="1:24" ht="21.75" customHeight="1" thickBot="1">
      <c r="A31" s="40" t="s">
        <v>45</v>
      </c>
      <c r="B31" s="47" t="s">
        <v>25</v>
      </c>
      <c r="C31" s="43">
        <v>10994.19</v>
      </c>
      <c r="D31" s="47">
        <v>29133.41</v>
      </c>
      <c r="E31" s="19">
        <f>SUM(E7-E12)</f>
        <v>9046.190000000002</v>
      </c>
      <c r="F31" s="65">
        <f>SUM(F7-F12)</f>
        <v>10560.310000000027</v>
      </c>
      <c r="G31" s="65">
        <f>SUM(G7-G12)</f>
        <v>5029.5199999999895</v>
      </c>
      <c r="H31" s="100">
        <f>SUM(H7-H12)-H29</f>
        <v>-20959.576000000023</v>
      </c>
      <c r="I31" s="90">
        <f>SUM(I7-I12)-I29</f>
        <v>-31258.31799999997</v>
      </c>
      <c r="J31" s="90">
        <f>SUM(J7-J12)-J29</f>
        <v>-38261.12800000001</v>
      </c>
      <c r="K31" s="104">
        <f>SUM(K7+K8+K9-K12)-K29</f>
        <v>-842.8260000000017</v>
      </c>
      <c r="L31" s="92">
        <f>SUM(L30+K31)</f>
        <v>-1209.5520000000013</v>
      </c>
      <c r="M31" s="92">
        <f aca="true" t="shared" si="9" ref="M31:V31">SUM(M30+L31)</f>
        <v>-6230.468000000002</v>
      </c>
      <c r="N31" s="92">
        <f t="shared" si="9"/>
        <v>-7142.934000000001</v>
      </c>
      <c r="O31" s="92">
        <f t="shared" si="9"/>
        <v>-8531.418000000003</v>
      </c>
      <c r="P31" s="92">
        <f t="shared" si="9"/>
        <v>-11558.482000000005</v>
      </c>
      <c r="Q31" s="92">
        <f t="shared" si="9"/>
        <v>-12851.216000000008</v>
      </c>
      <c r="R31" s="92">
        <f t="shared" si="9"/>
        <v>-15025.33000000001</v>
      </c>
      <c r="S31" s="92">
        <f t="shared" si="9"/>
        <v>-23280.304000000007</v>
      </c>
      <c r="T31" s="92">
        <f t="shared" si="9"/>
        <v>-23156.34800000001</v>
      </c>
      <c r="U31" s="92">
        <f t="shared" si="9"/>
        <v>-24295.67200000001</v>
      </c>
      <c r="V31" s="92">
        <f t="shared" si="9"/>
        <v>-26149.43600000001</v>
      </c>
      <c r="W31" s="65"/>
      <c r="X31" s="78"/>
    </row>
    <row r="32" spans="1:24" ht="24.75" customHeight="1" hidden="1" thickBot="1">
      <c r="A32" s="40" t="s">
        <v>46</v>
      </c>
      <c r="B32" s="47" t="s">
        <v>26</v>
      </c>
      <c r="C32" s="43">
        <v>10994.19</v>
      </c>
      <c r="D32" s="47">
        <v>40127.6</v>
      </c>
      <c r="E32" s="19">
        <f>SUM(E7-E12,D32)</f>
        <v>49173.79</v>
      </c>
      <c r="F32" s="65">
        <f>SUM(F7-F12,E32)</f>
        <v>59734.10000000003</v>
      </c>
      <c r="G32" s="65">
        <f>SUM(G7-G12,F32)</f>
        <v>64763.62000000002</v>
      </c>
      <c r="H32" s="100">
        <f>SUM(H31+G32)</f>
        <v>43804.043999999994</v>
      </c>
      <c r="I32" s="90">
        <f>SUM(I31+H32)</f>
        <v>12545.726000000024</v>
      </c>
      <c r="J32" s="90">
        <f>SUM(J31+I32)</f>
        <v>-25715.401999999987</v>
      </c>
      <c r="K32" s="90">
        <f>SUM(K31+J32)</f>
        <v>-26558.22799999999</v>
      </c>
      <c r="L32" s="92">
        <f>SUM(L30+K32)</f>
        <v>-26924.953999999987</v>
      </c>
      <c r="M32" s="92">
        <f aca="true" t="shared" si="10" ref="M32:U32">SUM(M30+L32)</f>
        <v>-31945.869999999988</v>
      </c>
      <c r="N32" s="92">
        <f t="shared" si="10"/>
        <v>-32858.33599999999</v>
      </c>
      <c r="O32" s="92">
        <f t="shared" si="10"/>
        <v>-34246.81999999999</v>
      </c>
      <c r="P32" s="92">
        <f t="shared" si="10"/>
        <v>-37273.88399999999</v>
      </c>
      <c r="Q32" s="92">
        <f t="shared" si="10"/>
        <v>-38566.617999999995</v>
      </c>
      <c r="R32" s="92">
        <f t="shared" si="10"/>
        <v>-40740.731999999996</v>
      </c>
      <c r="S32" s="92">
        <f t="shared" si="10"/>
        <v>-48995.70599999999</v>
      </c>
      <c r="T32" s="92">
        <f t="shared" si="10"/>
        <v>-48871.74999999999</v>
      </c>
      <c r="U32" s="92">
        <f t="shared" si="10"/>
        <v>-50011.07399999999</v>
      </c>
      <c r="V32" s="92">
        <f>SUM(V30+U32)+0.02</f>
        <v>-51864.81799999999</v>
      </c>
      <c r="W32" s="65"/>
      <c r="X32" s="58"/>
    </row>
    <row r="33" spans="1:24" ht="9" customHeight="1" hidden="1" thickBot="1">
      <c r="A33" s="40" t="s">
        <v>46</v>
      </c>
      <c r="B33" s="47" t="s">
        <v>9</v>
      </c>
      <c r="C33" s="44"/>
      <c r="D33" s="48"/>
      <c r="E33" s="48"/>
      <c r="F33" s="44"/>
      <c r="G33" s="44"/>
      <c r="H33" s="44"/>
      <c r="I33" s="44"/>
      <c r="J33" s="44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1"/>
      <c r="W33" s="65"/>
      <c r="X33" s="59"/>
    </row>
    <row r="34" spans="1:24" ht="15" customHeight="1" hidden="1" thickBot="1">
      <c r="A34" s="40" t="s">
        <v>47</v>
      </c>
      <c r="B34" s="37" t="s">
        <v>27</v>
      </c>
      <c r="C34" s="44"/>
      <c r="D34" s="48"/>
      <c r="E34" s="48"/>
      <c r="F34" s="44"/>
      <c r="G34" s="44"/>
      <c r="H34" s="44"/>
      <c r="I34" s="44"/>
      <c r="J34" s="44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1"/>
      <c r="W34" s="66"/>
      <c r="X34" s="60"/>
    </row>
    <row r="35" spans="1:24" ht="24" customHeight="1" hidden="1" thickBot="1">
      <c r="A35" s="41" t="s">
        <v>48</v>
      </c>
      <c r="B35" s="38" t="s">
        <v>52</v>
      </c>
      <c r="C35" s="45"/>
      <c r="D35" s="49"/>
      <c r="E35" s="49"/>
      <c r="F35" s="45"/>
      <c r="G35" s="45"/>
      <c r="H35" s="45"/>
      <c r="I35" s="45"/>
      <c r="J35" s="4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>
        <f>SUM(V31-V33)</f>
        <v>-26149.43600000001</v>
      </c>
      <c r="W35" s="67"/>
      <c r="X35" s="61"/>
    </row>
    <row r="36" spans="1:24" ht="24" customHeight="1" hidden="1" thickBot="1">
      <c r="A36" s="41" t="s">
        <v>51</v>
      </c>
      <c r="B36" s="38" t="s">
        <v>28</v>
      </c>
      <c r="C36" s="45"/>
      <c r="D36" s="49"/>
      <c r="E36" s="49"/>
      <c r="F36" s="45"/>
      <c r="G36" s="45"/>
      <c r="H36" s="45"/>
      <c r="I36" s="45"/>
      <c r="J36" s="4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>
        <f>SUM(V32-V33)</f>
        <v>-51864.81799999999</v>
      </c>
      <c r="W36" s="67"/>
      <c r="X36" s="61"/>
    </row>
    <row r="37" spans="3:24" ht="24" customHeight="1" hidden="1"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</row>
    <row r="38" ht="12.75">
      <c r="B38" t="s">
        <v>68</v>
      </c>
    </row>
    <row r="39" ht="12.75" hidden="1"/>
    <row r="40" ht="12.75" hidden="1"/>
    <row r="41" ht="12.75" hidden="1"/>
    <row r="46" ht="12.75" customHeight="1"/>
    <row r="47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2018-02-08T06:54:01Z</cp:lastPrinted>
  <dcterms:created xsi:type="dcterms:W3CDTF">2011-06-16T11:06:26Z</dcterms:created>
  <dcterms:modified xsi:type="dcterms:W3CDTF">2018-02-12T08:17:19Z</dcterms:modified>
  <cp:category/>
  <cp:version/>
  <cp:contentType/>
  <cp:contentStatus/>
</cp:coreProperties>
</file>