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<sst xmlns="http://schemas.openxmlformats.org/spreadsheetml/2006/main" count="81" uniqueCount="81">
  <si>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</si>
  <si>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</si>
  <si>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</si>
  <si>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</si>
  <si>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</si>
  <si>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</si>
  <si>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</si>
  <si>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</si>
  <si>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</si>
  <si>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</si>
  <si>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</si>
  <si>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</si>
  <si>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</si>
  <si>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</si>
  <si>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</si>
  <si>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</si>
  <si>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</si>
  <si>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</si>
  <si>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</si>
  <si>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</si>
  <si>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</si>
  <si>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</si>
  <si>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</si>
  <si>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</si>
  <si>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</si>
  <si>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</si>
  <si>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</si>
  <si>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</si>
  <si>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</si>
  <si>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</si>
  <si>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</si>
  <si>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</si>
  <si>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</si>
  <si>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</si>
  <si>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</si>
  <si>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</si>
  <si>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</si>
  <si>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</si>
  <si>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</si>
  <si>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</si>
  <si>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</si>
  <si>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</si>
  <si>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</si>
  <si>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</si>
  <si>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</si>
  <si>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</si>
  <si>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</si>
  <si>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</si>
  <si>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</si>
  <si>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</si>
  <si>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</si>
  <si>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</si>
  <si>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Пролетарская д.8</t>
  </si>
  <si>
    <t>Итого за 2011 г</t>
  </si>
  <si>
    <t>Проверка дымовых каналов</t>
  </si>
  <si>
    <t>11</t>
  </si>
  <si>
    <t>Результат за месяц</t>
  </si>
  <si>
    <t>Дом по ул.Пролетарская д.8 вступил в ООО "Наш дом" с апреля 2010 года         тариф 9,2 руб</t>
  </si>
  <si>
    <t>Благоустройство территории</t>
  </si>
  <si>
    <t>Итого за 2012 г</t>
  </si>
  <si>
    <t>4.12</t>
  </si>
  <si>
    <t>4.13</t>
  </si>
  <si>
    <t>4.14</t>
  </si>
  <si>
    <t>%  оплаты</t>
  </si>
  <si>
    <t>Итого за 2013г</t>
  </si>
  <si>
    <t>Итого за 2014г</t>
  </si>
  <si>
    <t xml:space="preserve">Материалы </t>
  </si>
  <si>
    <t>рентабельность 5%</t>
  </si>
  <si>
    <t>Итого за 2015г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</si>
  <si>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</si>
  <si>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</si>
  <si>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</si>
  <si>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Л,С../</t>
  </si>
  <si>
    <t>Итого за 2016г</t>
  </si>
  <si>
    <t>Итого за 2017 г</t>
  </si>
  <si>
    <t>Всего за 2010-2017</t>
  </si>
  <si>
    <t>Начислено  СОИД</t>
  </si>
  <si>
    <t>Электроэнергия СОИД</t>
  </si>
  <si>
    <t>Холодная вода СОИД</t>
  </si>
  <si>
    <t>Канализация СОИД</t>
  </si>
  <si>
    <t>Транспортные(ГСМ,зап.части,амортизация,страхов)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</si>
</sst>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21" fillId="0" borderId="13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8" xfId="0" applyFont="1" applyFill="1" applyBorder="1" applyAlignment="1">
      <alignment/>
    </xf>
    <xf numFmtId="0" fontId="0" fillId="2" borderId="26" xfId="0" applyFill="1" applyBorder="1" applyAlignment="1">
      <alignment/>
    </xf>
    <xf numFmtId="0" fontId="25" fillId="0" borderId="26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1" fillId="0" borderId="31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21" fillId="0" borderId="30" xfId="0" applyNumberFormat="1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2" borderId="33" xfId="0" applyFont="1" applyFill="1" applyBorder="1" applyAlignment="1">
      <alignment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1" fillId="0" borderId="2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0" fillId="0" borderId="39" xfId="0" applyBorder="1" applyAlignment="1">
      <alignment/>
    </xf>
    <xf numFmtId="1" fontId="21" fillId="0" borderId="40" xfId="0" applyNumberFormat="1" applyFont="1" applyBorder="1" applyAlignment="1">
      <alignment horizontal="center"/>
    </xf>
    <xf numFmtId="1" fontId="20" fillId="0" borderId="41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0" fillId="2" borderId="37" xfId="0" applyFont="1" applyFill="1" applyBorder="1" applyAlignment="1">
      <alignment/>
    </xf>
    <xf numFmtId="1" fontId="21" fillId="0" borderId="32" xfId="0" applyNumberFormat="1" applyFont="1" applyBorder="1" applyAlignment="1">
      <alignment horizontal="center"/>
    </xf>
    <xf numFmtId="1" fontId="21" fillId="0" borderId="35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21" fillId="0" borderId="42" xfId="0" applyFont="1" applyBorder="1" applyAlignment="1">
      <alignment wrapText="1"/>
    </xf>
    <xf numFmtId="2" fontId="21" fillId="0" borderId="27" xfId="0" applyNumberFormat="1" applyFont="1" applyBorder="1" applyAlignment="1">
      <alignment horizontal="right" wrapText="1"/>
    </xf>
    <xf numFmtId="0" fontId="21" fillId="2" borderId="28" xfId="0" applyFont="1" applyFill="1" applyBorder="1" applyAlignment="1">
      <alignment wrapText="1"/>
    </xf>
    <xf numFmtId="0" fontId="26" fillId="0" borderId="17" xfId="0" applyFont="1" applyBorder="1" applyAlignment="1">
      <alignment horizontal="center" vertical="center" wrapText="1"/>
    </xf>
    <xf numFmtId="0" fontId="27" fillId="0" borderId="34" xfId="0" applyFont="1" applyBorder="1" applyAlignment="1">
      <alignment wrapText="1"/>
    </xf>
    <xf numFmtId="0" fontId="27" fillId="0" borderId="35" xfId="0" applyFont="1" applyBorder="1" applyAlignment="1">
      <alignment wrapText="1"/>
    </xf>
    <xf numFmtId="2" fontId="20" fillId="0" borderId="39" xfId="0" applyNumberFormat="1" applyFont="1" applyBorder="1" applyAlignment="1">
      <alignment/>
    </xf>
    <xf numFmtId="0" fontId="21" fillId="0" borderId="28" xfId="0" applyFont="1" applyBorder="1" applyAlignment="1">
      <alignment wrapText="1"/>
    </xf>
    <xf numFmtId="0" fontId="27" fillId="0" borderId="43" xfId="0" applyFont="1" applyBorder="1" applyAlignment="1">
      <alignment wrapText="1"/>
    </xf>
    <xf numFmtId="0" fontId="27" fillId="0" borderId="44" xfId="0" applyFont="1" applyBorder="1" applyAlignment="1">
      <alignment wrapText="1"/>
    </xf>
    <xf numFmtId="1" fontId="21" fillId="0" borderId="45" xfId="0" applyNumberFormat="1" applyFont="1" applyBorder="1" applyAlignment="1">
      <alignment horizontal="center"/>
    </xf>
    <xf numFmtId="2" fontId="21" fillId="0" borderId="46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48" xfId="0" applyNumberFormat="1" applyFont="1" applyBorder="1" applyAlignment="1">
      <alignment horizontal="right" wrapText="1"/>
    </xf>
    <xf numFmtId="1" fontId="21" fillId="0" borderId="36" xfId="0" applyNumberFormat="1" applyFont="1" applyBorder="1" applyAlignment="1">
      <alignment horizontal="center"/>
    </xf>
    <xf numFmtId="2" fontId="21" fillId="0" borderId="49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50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2" fontId="21" fillId="0" borderId="26" xfId="0" applyNumberFormat="1" applyFont="1" applyBorder="1" applyAlignment="1">
      <alignment horizontal="right" wrapText="1"/>
    </xf>
    <xf numFmtId="0" fontId="28" fillId="0" borderId="34" xfId="0" applyFont="1" applyBorder="1" applyAlignment="1">
      <alignment/>
    </xf>
    <xf numFmtId="0" fontId="28" fillId="0" borderId="38" xfId="0" applyFont="1" applyBorder="1" applyAlignment="1">
      <alignment/>
    </xf>
    <xf numFmtId="1" fontId="28" fillId="0" borderId="41" xfId="0" applyNumberFormat="1" applyFont="1" applyBorder="1" applyAlignment="1">
      <alignment horizontal="center"/>
    </xf>
    <xf numFmtId="2" fontId="28" fillId="0" borderId="26" xfId="0" applyNumberFormat="1" applyFont="1" applyBorder="1" applyAlignment="1">
      <alignment/>
    </xf>
    <xf numFmtId="2" fontId="28" fillId="0" borderId="39" xfId="0" applyNumberFormat="1" applyFont="1" applyBorder="1" applyAlignment="1">
      <alignment/>
    </xf>
    <xf numFmtId="2" fontId="21" fillId="0" borderId="41" xfId="0" applyNumberFormat="1" applyFont="1" applyBorder="1" applyAlignment="1">
      <alignment horizontal="right" wrapText="1"/>
    </xf>
    <xf numFmtId="2" fontId="21" fillId="0" borderId="37" xfId="0" applyNumberFormat="1" applyFont="1" applyBorder="1" applyAlignment="1">
      <alignment/>
    </xf>
    <xf numFmtId="0" fontId="27" fillId="0" borderId="38" xfId="0" applyFont="1" applyBorder="1" applyAlignment="1">
      <alignment wrapText="1"/>
    </xf>
    <xf numFmtId="0" fontId="27" fillId="0" borderId="46" xfId="0" applyFont="1" applyBorder="1" applyAlignment="1">
      <alignment wrapText="1"/>
    </xf>
    <xf numFmtId="0" fontId="21" fillId="0" borderId="51" xfId="0" applyFont="1" applyBorder="1" applyAlignment="1">
      <alignment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1" fontId="21" fillId="0" borderId="54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49" fontId="0" fillId="0" borderId="41" xfId="0" applyNumberFormat="1" applyBorder="1" applyAlignment="1">
      <alignment horizontal="center"/>
    </xf>
    <xf numFmtId="2" fontId="21" fillId="0" borderId="39" xfId="0" applyNumberFormat="1" applyFont="1" applyBorder="1" applyAlignment="1">
      <alignment/>
    </xf>
    <xf numFmtId="49" fontId="0" fillId="0" borderId="38" xfId="0" applyNumberFormat="1" applyBorder="1" applyAlignment="1">
      <alignment horizontal="center"/>
    </xf>
    <xf numFmtId="0" fontId="21" fillId="0" borderId="28" xfId="0" applyFont="1" applyBorder="1" applyAlignment="1">
      <alignment/>
    </xf>
    <xf numFmtId="0" fontId="21" fillId="0" borderId="37" xfId="0" applyFont="1" applyBorder="1" applyAlignment="1">
      <alignment/>
    </xf>
    <xf numFmtId="2" fontId="21" fillId="0" borderId="33" xfId="0" applyNumberFormat="1" applyFont="1" applyBorder="1" applyAlignment="1">
      <alignment/>
    </xf>
    <xf numFmtId="0" fontId="21" fillId="0" borderId="29" xfId="0" applyFont="1" applyBorder="1" applyAlignment="1">
      <alignment wrapText="1"/>
    </xf>
    <xf numFmtId="2" fontId="21" fillId="0" borderId="17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A16">
      <selection activeCell="A30" sqref="A30:V30"/>
    </sheetView>
  </sheetViews>
  <sheetFormatPr defaultColWidth="9.00390625" defaultRowHeight="12.75"/>
  <cols>
    <col min="1" max="1" width="3.125" style="32" customWidth="1"/>
    <col min="2" max="2" width="20.875" style="0" customWidth="1"/>
    <col min="3" max="3" width="11.00390625" style="0" hidden="1" customWidth="1"/>
    <col min="4" max="4" width="10.125" style="0" hidden="1" customWidth="1"/>
    <col min="5" max="5" width="10.00390625" style="0" hidden="1" customWidth="1"/>
    <col min="6" max="6" width="10.25390625" style="0" hidden="1" customWidth="1"/>
    <col min="7" max="7" width="9.375" style="0" hidden="1" customWidth="1"/>
    <col min="8" max="8" width="9.125" style="0" hidden="1" customWidth="1"/>
    <col min="9" max="9" width="0.12890625" style="0" hidden="1" customWidth="1"/>
    <col min="10" max="10" width="8.25390625" style="0" customWidth="1"/>
    <col min="11" max="11" width="8.125" style="0" customWidth="1"/>
    <col min="12" max="12" width="8.875" style="0" customWidth="1"/>
    <col min="13" max="14" width="8.375" style="0" customWidth="1"/>
    <col min="15" max="15" width="8.75390625" style="0" customWidth="1"/>
    <col min="16" max="16" width="8.25390625" style="0" customWidth="1"/>
    <col min="17" max="17" width="7.875" style="0" customWidth="1"/>
    <col min="18" max="18" width="8.25390625" style="0" customWidth="1"/>
    <col min="19" max="19" width="9.00390625" style="0" customWidth="1"/>
    <col min="20" max="20" width="8.125" style="0" customWidth="1"/>
    <col min="21" max="21" width="8.875" style="0" customWidth="1"/>
    <col min="22" max="22" width="12.625" style="0" customWidth="1"/>
    <col min="23" max="23" width="10.625" style="0" hidden="1" customWidth="1"/>
  </cols>
  <sheetData>
    <row r="1" spans="2:28" ht="12.75" customHeight="1">
      <c r="B1" s="100" t="s">
        <v>10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 customHeight="1">
      <c r="B2" s="100" t="s">
        <v>57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4"/>
      <c r="U2" s="4"/>
      <c r="V2" s="4"/>
      <c r="W2" s="4"/>
      <c r="X2" s="4"/>
      <c r="Y2" s="4"/>
      <c r="Z2" s="4"/>
      <c r="AA2" s="4"/>
      <c r="AB2" s="4"/>
    </row>
    <row r="3" spans="2:28" ht="12.75" customHeight="1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3"/>
      <c r="Y3" s="3"/>
      <c r="Z3" s="3"/>
      <c r="AA3" s="3"/>
      <c r="AB3" s="3"/>
    </row>
    <row r="4" spans="2:28" ht="14.25" customHeight="1">
      <c r="B4" s="98" t="s">
        <v>12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2"/>
      <c r="Y4" s="2"/>
      <c r="Z4" s="2"/>
      <c r="AA4" s="2"/>
      <c r="AB4" s="2"/>
    </row>
    <row r="5" spans="2:28" ht="13.5" customHeight="1" thickBot="1">
      <c r="B5" s="98" t="s">
        <v>52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2"/>
      <c r="Y5" s="2"/>
      <c r="Z5" s="2"/>
      <c r="AA5" s="2"/>
      <c r="AB5" s="2"/>
    </row>
    <row r="6" spans="2:28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</row>
    <row r="7" spans="1:28" ht="27.75" customHeight="1" thickBot="1">
      <c r="A7" s="43" t="s">
        <v>29</v>
      </c>
      <c r="B7" s="33" t="s">
        <v>8</v>
      </c>
      <c r="C7" s="46" t="s">
        <v>49</v>
      </c>
      <c r="D7" s="56" t="s">
        <v>53</v>
      </c>
      <c r="E7" s="56" t="s">
        <v>59</v>
      </c>
      <c r="F7" s="56" t="s">
        <v>64</v>
      </c>
      <c r="G7" s="56" t="s">
        <v>65</v>
      </c>
      <c r="H7" s="56" t="s">
        <v>68</v>
      </c>
      <c r="I7" s="56" t="s">
        <v>73</v>
      </c>
      <c r="J7" s="67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24</v>
      </c>
      <c r="U7" s="15" t="s">
        <v>23</v>
      </c>
      <c r="V7" s="56" t="s">
        <v>74</v>
      </c>
      <c r="W7" s="21" t="s">
        <v>75</v>
      </c>
      <c r="X7" s="1"/>
      <c r="Y7" s="1"/>
      <c r="Z7" s="1"/>
      <c r="AA7" s="1"/>
      <c r="AB7" s="1"/>
    </row>
    <row r="8" spans="1:23" ht="13.5" thickBot="1">
      <c r="A8" s="44" t="s">
        <v>30</v>
      </c>
      <c r="B8" s="34" t="s">
        <v>1</v>
      </c>
      <c r="C8" s="68">
        <v>21097.44</v>
      </c>
      <c r="D8" s="72">
        <v>28192.48</v>
      </c>
      <c r="E8" s="68">
        <v>28840.16</v>
      </c>
      <c r="F8" s="68">
        <v>29074.76</v>
      </c>
      <c r="G8" s="68">
        <v>29267.04</v>
      </c>
      <c r="H8" s="68">
        <v>29267.04</v>
      </c>
      <c r="I8" s="68">
        <v>29609.28</v>
      </c>
      <c r="J8" s="94">
        <v>2467.44</v>
      </c>
      <c r="K8" s="6">
        <v>2467.44</v>
      </c>
      <c r="L8" s="7">
        <v>2467.44</v>
      </c>
      <c r="M8" s="7">
        <v>2467.44</v>
      </c>
      <c r="N8" s="7">
        <v>2467.44</v>
      </c>
      <c r="O8" s="7">
        <v>2467.44</v>
      </c>
      <c r="P8" s="7">
        <v>2467.44</v>
      </c>
      <c r="Q8" s="7">
        <v>2467.44</v>
      </c>
      <c r="R8" s="7">
        <v>2467.44</v>
      </c>
      <c r="S8" s="7">
        <v>2467.44</v>
      </c>
      <c r="T8" s="7">
        <v>2467.44</v>
      </c>
      <c r="U8" s="16">
        <v>2467.44</v>
      </c>
      <c r="V8" s="57">
        <f>SUM(J8:U8)</f>
        <v>29609.279999999995</v>
      </c>
      <c r="W8" s="85">
        <f>SUM(C8:U8)</f>
        <v>224957.48000000004</v>
      </c>
    </row>
    <row r="9" spans="1:23" ht="12.75">
      <c r="A9" s="44"/>
      <c r="B9" s="34" t="s">
        <v>76</v>
      </c>
      <c r="C9" s="92"/>
      <c r="D9" s="93"/>
      <c r="E9" s="92"/>
      <c r="F9" s="92"/>
      <c r="G9" s="92"/>
      <c r="H9" s="92"/>
      <c r="I9" s="92"/>
      <c r="J9" s="95">
        <f>81.11+4.14</f>
        <v>85.25</v>
      </c>
      <c r="K9" s="6">
        <f>81.11+4.14</f>
        <v>85.25</v>
      </c>
      <c r="L9" s="7">
        <f>81.11+4.14</f>
        <v>85.25</v>
      </c>
      <c r="M9" s="7">
        <f>81.11+4.14</f>
        <v>85.25</v>
      </c>
      <c r="N9" s="7">
        <f>81.11+4.14</f>
        <v>85.25</v>
      </c>
      <c r="O9" s="7">
        <f>55.95+8.04+7.01</f>
        <v>71</v>
      </c>
      <c r="P9" s="7">
        <f aca="true" t="shared" si="0" ref="P9:U9">58.7+8.12+7.18</f>
        <v>74</v>
      </c>
      <c r="Q9" s="7">
        <f t="shared" si="0"/>
        <v>74</v>
      </c>
      <c r="R9" s="7">
        <f t="shared" si="0"/>
        <v>74</v>
      </c>
      <c r="S9" s="7">
        <f t="shared" si="0"/>
        <v>74</v>
      </c>
      <c r="T9" s="7">
        <f t="shared" si="0"/>
        <v>74</v>
      </c>
      <c r="U9" s="7">
        <f t="shared" si="0"/>
        <v>74</v>
      </c>
      <c r="V9" s="57">
        <f>SUM(J9:U9)</f>
        <v>941.25</v>
      </c>
      <c r="W9" s="85">
        <f>SUM(C9:U9)</f>
        <v>941.25</v>
      </c>
    </row>
    <row r="10" spans="1:23" ht="12.75">
      <c r="A10" s="44" t="s">
        <v>31</v>
      </c>
      <c r="B10" s="35" t="s">
        <v>2</v>
      </c>
      <c r="C10" s="69">
        <v>17846.56</v>
      </c>
      <c r="D10" s="73">
        <v>28256.73</v>
      </c>
      <c r="E10" s="69">
        <v>27384.25</v>
      </c>
      <c r="F10" s="69">
        <v>29658.29</v>
      </c>
      <c r="G10" s="69">
        <v>27703.63</v>
      </c>
      <c r="H10" s="69">
        <v>28603.07</v>
      </c>
      <c r="I10" s="69">
        <v>26519.86</v>
      </c>
      <c r="J10" s="96">
        <v>3532.31</v>
      </c>
      <c r="K10" s="8">
        <v>1645.64</v>
      </c>
      <c r="L10" s="9">
        <v>2587.89</v>
      </c>
      <c r="M10" s="9">
        <v>1645.64</v>
      </c>
      <c r="N10" s="9">
        <v>2249.08</v>
      </c>
      <c r="O10" s="9">
        <v>1645.54</v>
      </c>
      <c r="P10" s="9">
        <v>2618.82</v>
      </c>
      <c r="Q10" s="9">
        <v>1638.02</v>
      </c>
      <c r="R10" s="9">
        <v>2739.52</v>
      </c>
      <c r="S10" s="9">
        <v>1306.72</v>
      </c>
      <c r="T10" s="9">
        <v>5127.1</v>
      </c>
      <c r="U10" s="17">
        <v>1666.81</v>
      </c>
      <c r="V10" s="57">
        <f>SUM(J10:U10)</f>
        <v>28403.09</v>
      </c>
      <c r="W10" s="86">
        <f>SUM(C10:U10)</f>
        <v>214375.48000000004</v>
      </c>
    </row>
    <row r="11" spans="1:23" ht="15" customHeight="1" thickBot="1">
      <c r="A11" s="44" t="s">
        <v>32</v>
      </c>
      <c r="B11" s="36" t="s">
        <v>63</v>
      </c>
      <c r="C11" s="62">
        <f aca="true" t="shared" si="1" ref="C11:J11">SUM(C10/C8*100)</f>
        <v>84.59111626813491</v>
      </c>
      <c r="D11" s="74">
        <f t="shared" si="1"/>
        <v>100.22789765213986</v>
      </c>
      <c r="E11" s="79">
        <f t="shared" si="1"/>
        <v>94.9517963839313</v>
      </c>
      <c r="F11" s="79">
        <f t="shared" si="1"/>
        <v>102.00699851004791</v>
      </c>
      <c r="G11" s="79">
        <f t="shared" si="1"/>
        <v>94.65812053422553</v>
      </c>
      <c r="H11" s="61">
        <f>SUM(H10/H8*100)</f>
        <v>97.73133873463117</v>
      </c>
      <c r="I11" s="79">
        <f>SUM(I10/I8*100)</f>
        <v>89.56604145727286</v>
      </c>
      <c r="J11" s="97">
        <f t="shared" si="1"/>
        <v>143.1568751418474</v>
      </c>
      <c r="K11" s="24">
        <f aca="true" t="shared" si="2" ref="K11:U11">SUM(K10/K8*100)</f>
        <v>66.69422559413806</v>
      </c>
      <c r="L11" s="24">
        <f t="shared" si="2"/>
        <v>104.88157766754208</v>
      </c>
      <c r="M11" s="24">
        <f t="shared" si="2"/>
        <v>66.69422559413806</v>
      </c>
      <c r="N11" s="24">
        <f t="shared" si="2"/>
        <v>91.15034205492331</v>
      </c>
      <c r="O11" s="24">
        <f t="shared" si="2"/>
        <v>66.69017281068638</v>
      </c>
      <c r="P11" s="24">
        <f t="shared" si="2"/>
        <v>106.13510358914502</v>
      </c>
      <c r="Q11" s="24">
        <f t="shared" si="2"/>
        <v>66.38540349512044</v>
      </c>
      <c r="R11" s="24">
        <f t="shared" si="2"/>
        <v>111.02681321531627</v>
      </c>
      <c r="S11" s="24">
        <f t="shared" si="2"/>
        <v>52.95853191972246</v>
      </c>
      <c r="T11" s="24">
        <f t="shared" si="2"/>
        <v>207.79026035080898</v>
      </c>
      <c r="U11" s="54">
        <f t="shared" si="2"/>
        <v>67.55219985085756</v>
      </c>
      <c r="V11" s="55">
        <f>SUM(V10/V8*100)</f>
        <v>95.92631094035386</v>
      </c>
      <c r="W11" s="87">
        <f>SUM(W10/W8*100)</f>
        <v>95.29599993741039</v>
      </c>
    </row>
    <row r="12" spans="1:23" ht="13.5" thickBot="1">
      <c r="A12" s="44" t="s">
        <v>33</v>
      </c>
      <c r="B12" s="37" t="s">
        <v>3</v>
      </c>
      <c r="C12" s="58">
        <f aca="true" t="shared" si="3" ref="C12:J12">SUM(C13:C27)</f>
        <v>25497.829999999994</v>
      </c>
      <c r="D12" s="18">
        <f t="shared" si="3"/>
        <v>33827.55</v>
      </c>
      <c r="E12" s="58">
        <f t="shared" si="3"/>
        <v>31038.440000000002</v>
      </c>
      <c r="F12" s="58">
        <f t="shared" si="3"/>
        <v>42011.530000000006</v>
      </c>
      <c r="G12" s="58">
        <f t="shared" si="3"/>
        <v>40291.08</v>
      </c>
      <c r="H12" s="58">
        <f>SUM(H13:H27)</f>
        <v>37324.009999999995</v>
      </c>
      <c r="I12" s="58">
        <f>SUM(I13:I27)</f>
        <v>31034.949999999997</v>
      </c>
      <c r="J12" s="12">
        <f t="shared" si="3"/>
        <v>2616.1400000000003</v>
      </c>
      <c r="K12" s="12">
        <f aca="true" t="shared" si="4" ref="K12:U12">SUM(K13:K27)</f>
        <v>2937.3799999999997</v>
      </c>
      <c r="L12" s="12">
        <f t="shared" si="4"/>
        <v>3291.61</v>
      </c>
      <c r="M12" s="12">
        <f t="shared" si="4"/>
        <v>2545.43</v>
      </c>
      <c r="N12" s="12">
        <f t="shared" si="4"/>
        <v>2652.49</v>
      </c>
      <c r="O12" s="12">
        <f t="shared" si="4"/>
        <v>2831.3</v>
      </c>
      <c r="P12" s="12">
        <f t="shared" si="4"/>
        <v>2698.73</v>
      </c>
      <c r="Q12" s="12">
        <f t="shared" si="4"/>
        <v>3383.92</v>
      </c>
      <c r="R12" s="12">
        <f t="shared" si="4"/>
        <v>4555.96</v>
      </c>
      <c r="S12" s="12">
        <f t="shared" si="4"/>
        <v>2310.08</v>
      </c>
      <c r="T12" s="12">
        <f t="shared" si="4"/>
        <v>2741.34</v>
      </c>
      <c r="U12" s="18">
        <f t="shared" si="4"/>
        <v>2730.26</v>
      </c>
      <c r="V12" s="58">
        <f>SUM(J12:U12)</f>
        <v>35294.64</v>
      </c>
      <c r="W12" s="88">
        <f>SUM(C12:U12)</f>
        <v>276320.0300000001</v>
      </c>
    </row>
    <row r="13" spans="1:23" ht="13.5" thickBot="1">
      <c r="A13" s="44" t="s">
        <v>34</v>
      </c>
      <c r="B13" s="38" t="s">
        <v>5</v>
      </c>
      <c r="C13" s="50">
        <v>5595.55</v>
      </c>
      <c r="D13" s="75">
        <v>8802.71</v>
      </c>
      <c r="E13" s="50">
        <v>10409.96</v>
      </c>
      <c r="F13" s="50">
        <v>14532.2</v>
      </c>
      <c r="G13" s="50">
        <v>12619.2</v>
      </c>
      <c r="H13" s="50">
        <v>12633.5</v>
      </c>
      <c r="I13" s="50">
        <v>10153.67</v>
      </c>
      <c r="J13" s="6">
        <f>795+9.65</f>
        <v>804.65</v>
      </c>
      <c r="K13" s="7">
        <f>795+45.35</f>
        <v>840.35</v>
      </c>
      <c r="L13" s="7">
        <f>795+26.63</f>
        <v>821.63</v>
      </c>
      <c r="M13" s="7">
        <f>795+84.39</f>
        <v>879.39</v>
      </c>
      <c r="N13" s="7">
        <f>795+42.12</f>
        <v>837.12</v>
      </c>
      <c r="O13" s="7">
        <f>795+25.75</f>
        <v>820.75</v>
      </c>
      <c r="P13" s="7">
        <f>795+40.56</f>
        <v>835.56</v>
      </c>
      <c r="Q13" s="7">
        <f>795+47.16</f>
        <v>842.16</v>
      </c>
      <c r="R13" s="7">
        <f>795+48.79</f>
        <v>843.79</v>
      </c>
      <c r="S13" s="7">
        <f>795+50.71</f>
        <v>845.71</v>
      </c>
      <c r="T13" s="7">
        <f>795+44.32</f>
        <v>839.32</v>
      </c>
      <c r="U13" s="16">
        <f>795+44.4</f>
        <v>839.4</v>
      </c>
      <c r="V13" s="58">
        <f aca="true" t="shared" si="5" ref="V13:V29">SUM(J13:U13)</f>
        <v>10049.83</v>
      </c>
      <c r="W13" s="88">
        <f aca="true" t="shared" si="6" ref="W13:W27">SUM(C13:U13)</f>
        <v>84796.62</v>
      </c>
    </row>
    <row r="14" spans="1:23" ht="12.75" customHeight="1" thickBot="1">
      <c r="A14" s="44" t="s">
        <v>35</v>
      </c>
      <c r="B14" s="39" t="s">
        <v>69</v>
      </c>
      <c r="C14" s="51">
        <v>4048.25</v>
      </c>
      <c r="D14" s="76">
        <v>4213.87</v>
      </c>
      <c r="E14" s="51">
        <v>86.2</v>
      </c>
      <c r="F14" s="51">
        <v>157.04</v>
      </c>
      <c r="G14" s="51">
        <v>2361.82</v>
      </c>
      <c r="H14" s="51">
        <v>3497.1</v>
      </c>
      <c r="I14" s="51">
        <v>0</v>
      </c>
      <c r="J14" s="8"/>
      <c r="K14" s="9"/>
      <c r="L14" s="9">
        <v>740.2</v>
      </c>
      <c r="M14" s="9"/>
      <c r="N14" s="9"/>
      <c r="O14" s="9"/>
      <c r="P14" s="9"/>
      <c r="Q14" s="9"/>
      <c r="R14" s="9"/>
      <c r="S14" s="9"/>
      <c r="T14" s="9"/>
      <c r="U14" s="17">
        <v>220.45</v>
      </c>
      <c r="V14" s="58">
        <f t="shared" si="5"/>
        <v>960.6500000000001</v>
      </c>
      <c r="W14" s="88">
        <f>SUM(C14:U14)</f>
        <v>15324.930000000002</v>
      </c>
    </row>
    <row r="15" spans="1:23" ht="16.5" customHeight="1" thickBot="1">
      <c r="A15" s="44" t="s">
        <v>36</v>
      </c>
      <c r="B15" s="36" t="s">
        <v>6</v>
      </c>
      <c r="C15" s="51">
        <v>0</v>
      </c>
      <c r="D15" s="76">
        <v>1500.25</v>
      </c>
      <c r="E15" s="51">
        <v>0</v>
      </c>
      <c r="F15" s="51">
        <v>0</v>
      </c>
      <c r="G15" s="51">
        <v>1789.3</v>
      </c>
      <c r="H15" s="51">
        <v>0</v>
      </c>
      <c r="I15" s="51">
        <v>0</v>
      </c>
      <c r="J15" s="8"/>
      <c r="K15" s="9"/>
      <c r="L15" s="9"/>
      <c r="M15" s="9"/>
      <c r="N15" s="9"/>
      <c r="O15" s="9"/>
      <c r="P15" s="9"/>
      <c r="Q15" s="9"/>
      <c r="R15" s="9">
        <v>1924.5</v>
      </c>
      <c r="S15" s="9"/>
      <c r="T15" s="9"/>
      <c r="U15" s="17"/>
      <c r="V15" s="58">
        <f t="shared" si="5"/>
        <v>1924.5</v>
      </c>
      <c r="W15" s="88">
        <f t="shared" si="6"/>
        <v>5214.05</v>
      </c>
    </row>
    <row r="16" spans="1:23" ht="24" customHeight="1" thickBot="1">
      <c r="A16" s="44" t="s">
        <v>37</v>
      </c>
      <c r="B16" s="36" t="s">
        <v>54</v>
      </c>
      <c r="C16" s="51">
        <v>0</v>
      </c>
      <c r="D16" s="76">
        <v>319.27</v>
      </c>
      <c r="E16" s="51">
        <v>0</v>
      </c>
      <c r="F16" s="51">
        <v>0</v>
      </c>
      <c r="G16" s="51"/>
      <c r="H16" s="51">
        <v>400</v>
      </c>
      <c r="I16" s="51">
        <v>600</v>
      </c>
      <c r="J16" s="8"/>
      <c r="K16" s="9">
        <v>300</v>
      </c>
      <c r="L16" s="9"/>
      <c r="M16" s="9"/>
      <c r="N16" s="9"/>
      <c r="O16" s="9"/>
      <c r="P16" s="9"/>
      <c r="Q16" s="9"/>
      <c r="R16" s="9"/>
      <c r="S16" s="9"/>
      <c r="T16" s="9"/>
      <c r="U16" s="17"/>
      <c r="V16" s="58">
        <f t="shared" si="5"/>
        <v>300</v>
      </c>
      <c r="W16" s="88">
        <f t="shared" si="6"/>
        <v>1619.27</v>
      </c>
    </row>
    <row r="17" spans="1:23" ht="12.75" customHeight="1" thickBot="1">
      <c r="A17" s="44" t="s">
        <v>38</v>
      </c>
      <c r="B17" s="39" t="s">
        <v>66</v>
      </c>
      <c r="C17" s="51">
        <v>7479.63</v>
      </c>
      <c r="D17" s="76">
        <v>2248.02</v>
      </c>
      <c r="E17" s="51">
        <v>181.23</v>
      </c>
      <c r="F17" s="51">
        <v>7955.1</v>
      </c>
      <c r="G17" s="51">
        <v>3978.11</v>
      </c>
      <c r="H17" s="51">
        <v>393.32</v>
      </c>
      <c r="I17" s="51">
        <v>671.05</v>
      </c>
      <c r="J17" s="8"/>
      <c r="K17" s="9">
        <v>108</v>
      </c>
      <c r="L17" s="9"/>
      <c r="M17" s="9"/>
      <c r="N17" s="9"/>
      <c r="O17" s="9">
        <v>300</v>
      </c>
      <c r="P17" s="9"/>
      <c r="Q17" s="9">
        <v>393.64</v>
      </c>
      <c r="R17" s="9">
        <v>45</v>
      </c>
      <c r="S17" s="9">
        <v>57.12</v>
      </c>
      <c r="T17" s="9"/>
      <c r="U17" s="17"/>
      <c r="V17" s="58">
        <f t="shared" si="5"/>
        <v>903.76</v>
      </c>
      <c r="W17" s="88">
        <f t="shared" si="6"/>
        <v>23810.219999999998</v>
      </c>
    </row>
    <row r="18" spans="1:23" ht="21.75" customHeight="1" thickBot="1">
      <c r="A18" s="44" t="s">
        <v>39</v>
      </c>
      <c r="B18" s="39" t="s">
        <v>58</v>
      </c>
      <c r="C18" s="51">
        <v>0</v>
      </c>
      <c r="D18" s="76">
        <v>0</v>
      </c>
      <c r="E18" s="51">
        <v>256</v>
      </c>
      <c r="F18" s="51">
        <v>0</v>
      </c>
      <c r="G18" s="51">
        <v>8.72</v>
      </c>
      <c r="H18" s="51">
        <v>0</v>
      </c>
      <c r="I18" s="51">
        <v>186</v>
      </c>
      <c r="J18" s="8">
        <v>8</v>
      </c>
      <c r="K18" s="9">
        <v>94.94</v>
      </c>
      <c r="L18" s="9"/>
      <c r="M18" s="9"/>
      <c r="N18" s="9"/>
      <c r="O18" s="9"/>
      <c r="P18" s="9"/>
      <c r="Q18" s="9">
        <v>900</v>
      </c>
      <c r="R18" s="9"/>
      <c r="S18" s="9"/>
      <c r="T18" s="9"/>
      <c r="U18" s="17">
        <v>20.48</v>
      </c>
      <c r="V18" s="58">
        <f>SUM(J18:U18)</f>
        <v>1023.4200000000001</v>
      </c>
      <c r="W18" s="88">
        <f>SUM(C18:U18)</f>
        <v>1474.14</v>
      </c>
    </row>
    <row r="19" spans="1:23" ht="15.75" customHeight="1" thickBot="1">
      <c r="A19" s="44" t="s">
        <v>40</v>
      </c>
      <c r="B19" s="39" t="s">
        <v>77</v>
      </c>
      <c r="C19" s="51">
        <v>952.6</v>
      </c>
      <c r="D19" s="76">
        <v>1414.68</v>
      </c>
      <c r="E19" s="51">
        <v>2368.33</v>
      </c>
      <c r="F19" s="51">
        <v>0</v>
      </c>
      <c r="G19" s="51"/>
      <c r="H19" s="51">
        <v>0</v>
      </c>
      <c r="I19" s="51">
        <v>0</v>
      </c>
      <c r="J19" s="8">
        <v>81.11</v>
      </c>
      <c r="K19" s="9">
        <v>81.11</v>
      </c>
      <c r="L19" s="9">
        <v>81.11</v>
      </c>
      <c r="M19" s="9">
        <v>81.11</v>
      </c>
      <c r="N19" s="9">
        <v>81.11</v>
      </c>
      <c r="O19" s="9">
        <v>55.95</v>
      </c>
      <c r="P19" s="9">
        <v>58.7</v>
      </c>
      <c r="Q19" s="9">
        <v>58.7</v>
      </c>
      <c r="R19" s="9">
        <v>58.7</v>
      </c>
      <c r="S19" s="9">
        <v>58.7</v>
      </c>
      <c r="T19" s="9">
        <v>58.7</v>
      </c>
      <c r="U19" s="9">
        <v>58.7</v>
      </c>
      <c r="V19" s="58">
        <f t="shared" si="5"/>
        <v>813.7000000000003</v>
      </c>
      <c r="W19" s="88">
        <f t="shared" si="6"/>
        <v>5549.309999999998</v>
      </c>
    </row>
    <row r="20" spans="1:23" ht="15.75" customHeight="1" thickBot="1">
      <c r="A20" s="44"/>
      <c r="B20" s="39" t="s">
        <v>78</v>
      </c>
      <c r="C20" s="51"/>
      <c r="D20" s="76"/>
      <c r="E20" s="51"/>
      <c r="F20" s="51"/>
      <c r="G20" s="51"/>
      <c r="H20" s="51"/>
      <c r="I20" s="51"/>
      <c r="J20" s="8"/>
      <c r="K20" s="9"/>
      <c r="L20" s="9"/>
      <c r="M20" s="9"/>
      <c r="N20" s="9">
        <v>16.6</v>
      </c>
      <c r="O20" s="9">
        <v>12.2</v>
      </c>
      <c r="P20" s="9">
        <v>8.12</v>
      </c>
      <c r="Q20" s="9">
        <v>8.12</v>
      </c>
      <c r="R20" s="9">
        <v>8.12</v>
      </c>
      <c r="S20" s="9">
        <v>8.12</v>
      </c>
      <c r="T20" s="9">
        <v>8.12</v>
      </c>
      <c r="U20" s="9">
        <v>8.12</v>
      </c>
      <c r="V20" s="58">
        <f>SUM(J20:U20)</f>
        <v>77.52</v>
      </c>
      <c r="W20" s="88">
        <f>SUM(C20:U20)</f>
        <v>77.52</v>
      </c>
    </row>
    <row r="21" spans="1:23" ht="15.75" customHeight="1" thickBot="1">
      <c r="A21" s="44"/>
      <c r="B21" s="39" t="s">
        <v>79</v>
      </c>
      <c r="C21" s="51"/>
      <c r="D21" s="76"/>
      <c r="E21" s="51"/>
      <c r="F21" s="51"/>
      <c r="G21" s="51"/>
      <c r="H21" s="51"/>
      <c r="I21" s="51"/>
      <c r="J21" s="8"/>
      <c r="K21" s="9"/>
      <c r="L21" s="9"/>
      <c r="M21" s="9"/>
      <c r="N21" s="9"/>
      <c r="O21" s="9">
        <v>7</v>
      </c>
      <c r="P21" s="9">
        <v>7.17</v>
      </c>
      <c r="Q21" s="9">
        <v>7.17</v>
      </c>
      <c r="R21" s="9">
        <v>7.17</v>
      </c>
      <c r="S21" s="9">
        <v>7.17</v>
      </c>
      <c r="T21" s="9">
        <v>7.17</v>
      </c>
      <c r="U21" s="9">
        <v>7.17</v>
      </c>
      <c r="V21" s="58">
        <f>SUM(J21:U21)</f>
        <v>50.02</v>
      </c>
      <c r="W21" s="88">
        <f>SUM(C21:U21)</f>
        <v>50.02</v>
      </c>
    </row>
    <row r="22" spans="1:23" ht="15" customHeight="1" thickBot="1">
      <c r="A22" s="44" t="s">
        <v>41</v>
      </c>
      <c r="B22" s="39" t="s">
        <v>7</v>
      </c>
      <c r="C22" s="51">
        <v>194.1</v>
      </c>
      <c r="D22" s="76">
        <v>186.27</v>
      </c>
      <c r="E22" s="51">
        <v>174.04</v>
      </c>
      <c r="F22" s="51">
        <v>191.27</v>
      </c>
      <c r="G22" s="51"/>
      <c r="H22" s="51">
        <v>0</v>
      </c>
      <c r="I22" s="51">
        <v>0</v>
      </c>
      <c r="J22" s="8"/>
      <c r="K22" s="9"/>
      <c r="L22" s="9"/>
      <c r="M22" s="9"/>
      <c r="N22" s="9"/>
      <c r="O22" s="9"/>
      <c r="P22" s="9"/>
      <c r="Q22" s="9"/>
      <c r="R22" s="9"/>
      <c r="S22" s="9"/>
      <c r="T22" s="9"/>
      <c r="U22" s="17"/>
      <c r="V22" s="58">
        <f t="shared" si="5"/>
        <v>0</v>
      </c>
      <c r="W22" s="88">
        <f t="shared" si="6"/>
        <v>745.68</v>
      </c>
    </row>
    <row r="23" spans="1:23" ht="22.5" customHeight="1" thickBot="1">
      <c r="A23" s="44" t="s">
        <v>42</v>
      </c>
      <c r="B23" s="39" t="s">
        <v>80</v>
      </c>
      <c r="C23" s="51">
        <v>347.02</v>
      </c>
      <c r="D23" s="76">
        <v>1240.91</v>
      </c>
      <c r="E23" s="51">
        <v>1598.91</v>
      </c>
      <c r="F23" s="51">
        <v>1988.12</v>
      </c>
      <c r="G23" s="51">
        <v>1080.23</v>
      </c>
      <c r="H23" s="51">
        <v>1274.05</v>
      </c>
      <c r="I23" s="51">
        <v>1363.04</v>
      </c>
      <c r="J23" s="8">
        <v>115.4</v>
      </c>
      <c r="K23" s="9">
        <v>107.91</v>
      </c>
      <c r="L23" s="9">
        <v>134.15</v>
      </c>
      <c r="M23" s="9">
        <v>99.7</v>
      </c>
      <c r="N23" s="9">
        <v>106.17</v>
      </c>
      <c r="O23" s="9">
        <v>119.4</v>
      </c>
      <c r="P23" s="9">
        <v>96.77</v>
      </c>
      <c r="Q23" s="9">
        <v>111.93</v>
      </c>
      <c r="R23" s="9">
        <v>105.28</v>
      </c>
      <c r="S23" s="9">
        <v>134.33</v>
      </c>
      <c r="T23" s="9">
        <v>138.95</v>
      </c>
      <c r="U23" s="17">
        <v>114.82</v>
      </c>
      <c r="V23" s="58">
        <f t="shared" si="5"/>
        <v>1384.81</v>
      </c>
      <c r="W23" s="88">
        <f t="shared" si="6"/>
        <v>10277.090000000002</v>
      </c>
    </row>
    <row r="24" spans="1:23" ht="23.25" customHeight="1" thickBot="1">
      <c r="A24" s="44" t="s">
        <v>43</v>
      </c>
      <c r="B24" s="39" t="s">
        <v>70</v>
      </c>
      <c r="C24" s="51">
        <v>570.54</v>
      </c>
      <c r="D24" s="76">
        <v>674.43</v>
      </c>
      <c r="E24" s="51">
        <v>206.96</v>
      </c>
      <c r="F24" s="51">
        <v>148.4</v>
      </c>
      <c r="G24" s="51">
        <v>324.96</v>
      </c>
      <c r="H24" s="51">
        <v>219.57</v>
      </c>
      <c r="I24" s="51">
        <v>193.91</v>
      </c>
      <c r="J24" s="8">
        <v>25.36</v>
      </c>
      <c r="K24" s="9">
        <v>7.8</v>
      </c>
      <c r="L24" s="9">
        <v>8.38</v>
      </c>
      <c r="M24" s="9">
        <v>7.75</v>
      </c>
      <c r="N24" s="9">
        <v>7.52</v>
      </c>
      <c r="O24" s="9">
        <v>11.69</v>
      </c>
      <c r="P24" s="9">
        <v>10.98</v>
      </c>
      <c r="Q24" s="9">
        <v>33.8</v>
      </c>
      <c r="R24" s="9">
        <v>7.89</v>
      </c>
      <c r="S24" s="9">
        <v>11.67</v>
      </c>
      <c r="T24" s="9">
        <v>7.89</v>
      </c>
      <c r="U24" s="17">
        <v>10.75</v>
      </c>
      <c r="V24" s="58">
        <f t="shared" si="5"/>
        <v>151.48</v>
      </c>
      <c r="W24" s="88">
        <f t="shared" si="6"/>
        <v>2490.2500000000005</v>
      </c>
    </row>
    <row r="25" spans="1:23" ht="36.75" customHeight="1" thickBot="1">
      <c r="A25" s="44" t="s">
        <v>60</v>
      </c>
      <c r="B25" s="39" t="s">
        <v>71</v>
      </c>
      <c r="C25" s="51">
        <v>186.1</v>
      </c>
      <c r="D25" s="76">
        <v>1076.15</v>
      </c>
      <c r="E25" s="51">
        <v>1077.43</v>
      </c>
      <c r="F25" s="51">
        <v>1456.15</v>
      </c>
      <c r="G25" s="51">
        <v>1260.06</v>
      </c>
      <c r="H25" s="51">
        <v>1673.56</v>
      </c>
      <c r="I25" s="51">
        <v>1418.33</v>
      </c>
      <c r="J25" s="8">
        <f>5.09+35.43+58</f>
        <v>98.52</v>
      </c>
      <c r="K25" s="9">
        <f>5.06+41.98+35.56</f>
        <v>82.6</v>
      </c>
      <c r="L25" s="9">
        <f>4.99+46.66+62.46</f>
        <v>114.11</v>
      </c>
      <c r="M25" s="9">
        <f>4.71+42.77+60.12</f>
        <v>107.6</v>
      </c>
      <c r="N25" s="9">
        <f>4.84+51.86+147.08</f>
        <v>203.78000000000003</v>
      </c>
      <c r="O25" s="9">
        <f>71.46+5.68+42.47</f>
        <v>119.60999999999999</v>
      </c>
      <c r="P25" s="9">
        <f>6.21+37.38+66.73</f>
        <v>110.32000000000001</v>
      </c>
      <c r="Q25" s="9">
        <f>6.73+34.49+79.54</f>
        <v>120.76</v>
      </c>
      <c r="R25" s="9">
        <f>68.29+5.41+43.74</f>
        <v>117.44</v>
      </c>
      <c r="S25" s="9">
        <f>6.95+49.43+72.11</f>
        <v>128.49</v>
      </c>
      <c r="T25" s="9">
        <f>6.38+57.6+113.83</f>
        <v>177.81</v>
      </c>
      <c r="U25" s="17">
        <f>6.57+58.04+48.3</f>
        <v>112.91</v>
      </c>
      <c r="V25" s="58">
        <f t="shared" si="5"/>
        <v>1493.9500000000003</v>
      </c>
      <c r="W25" s="88">
        <f t="shared" si="6"/>
        <v>9641.730000000003</v>
      </c>
    </row>
    <row r="26" spans="1:23" ht="15.75" customHeight="1" thickBot="1">
      <c r="A26" s="44" t="s">
        <v>61</v>
      </c>
      <c r="B26" s="39" t="s">
        <v>11</v>
      </c>
      <c r="C26" s="51">
        <v>5408.03</v>
      </c>
      <c r="D26" s="76">
        <v>10487.95</v>
      </c>
      <c r="E26" s="51">
        <v>13522.41</v>
      </c>
      <c r="F26" s="51">
        <v>14385.43</v>
      </c>
      <c r="G26" s="51">
        <v>15746.25</v>
      </c>
      <c r="H26" s="51">
        <v>16198.16</v>
      </c>
      <c r="I26" s="90">
        <v>15447.59</v>
      </c>
      <c r="J26" s="8">
        <f>3030.01-1680.29</f>
        <v>1349.7200000000003</v>
      </c>
      <c r="K26" s="9">
        <f>3272.73-2020.2</f>
        <v>1252.53</v>
      </c>
      <c r="L26" s="9">
        <f>3719.51-2425.2</f>
        <v>1294.3100000000004</v>
      </c>
      <c r="M26" s="9">
        <f>2611.23-1303.49</f>
        <v>1307.74</v>
      </c>
      <c r="N26" s="9">
        <f>803.71+163.72+289.8+58.03</f>
        <v>1315.26</v>
      </c>
      <c r="O26" s="9">
        <f>2831.3-1508.74</f>
        <v>1322.5600000000002</v>
      </c>
      <c r="P26" s="9">
        <f>2698.73-1226.5</f>
        <v>1472.23</v>
      </c>
      <c r="Q26" s="9">
        <f>3383.92-2538.13</f>
        <v>845.79</v>
      </c>
      <c r="R26" s="9">
        <f>4555.96-3221.34</f>
        <v>1334.62</v>
      </c>
      <c r="S26" s="9">
        <f>2310.08-1300.66</f>
        <v>1009.4199999999998</v>
      </c>
      <c r="T26" s="9">
        <f>2741.34-1431.56</f>
        <v>1309.7800000000002</v>
      </c>
      <c r="U26" s="17">
        <f>2730.26-1455.74</f>
        <v>1274.5200000000002</v>
      </c>
      <c r="V26" s="58">
        <f t="shared" si="5"/>
        <v>15088.48</v>
      </c>
      <c r="W26" s="88">
        <f t="shared" si="6"/>
        <v>106284.29999999997</v>
      </c>
    </row>
    <row r="27" spans="1:23" ht="13.5" customHeight="1" thickBot="1">
      <c r="A27" s="44" t="s">
        <v>62</v>
      </c>
      <c r="B27" s="40" t="s">
        <v>4</v>
      </c>
      <c r="C27" s="52">
        <v>716.01</v>
      </c>
      <c r="D27" s="77">
        <v>1663.04</v>
      </c>
      <c r="E27" s="52">
        <v>1156.97</v>
      </c>
      <c r="F27" s="52">
        <v>1197.82</v>
      </c>
      <c r="G27" s="52">
        <v>1122.43</v>
      </c>
      <c r="H27" s="52">
        <v>1034.75</v>
      </c>
      <c r="I27" s="84">
        <v>1001.36</v>
      </c>
      <c r="J27" s="10">
        <v>133.38</v>
      </c>
      <c r="K27" s="11">
        <f>2.08+60.06</f>
        <v>62.14</v>
      </c>
      <c r="L27" s="11">
        <f>3.09+94.63</f>
        <v>97.72</v>
      </c>
      <c r="M27" s="11">
        <f>2.08+60.06</f>
        <v>62.14</v>
      </c>
      <c r="N27" s="11">
        <f>2.84+82.09</f>
        <v>84.93</v>
      </c>
      <c r="O27" s="11">
        <f>2.08+60.06</f>
        <v>62.14</v>
      </c>
      <c r="P27" s="11">
        <f>2.82+96.06</f>
        <v>98.88</v>
      </c>
      <c r="Q27" s="11">
        <f>1.79+60.06</f>
        <v>61.85</v>
      </c>
      <c r="R27" s="11">
        <f>2.48+100.97</f>
        <v>103.45</v>
      </c>
      <c r="S27" s="11">
        <f>1.44+47.91</f>
        <v>49.349999999999994</v>
      </c>
      <c r="T27" s="11">
        <f>6.08+187.52</f>
        <v>193.60000000000002</v>
      </c>
      <c r="U27" s="19">
        <f>1.83+61.11</f>
        <v>62.94</v>
      </c>
      <c r="V27" s="58">
        <f t="shared" si="5"/>
        <v>1072.52</v>
      </c>
      <c r="W27" s="88">
        <f t="shared" si="6"/>
        <v>8964.900000000001</v>
      </c>
    </row>
    <row r="28" spans="1:23" ht="13.5" customHeight="1" thickBot="1">
      <c r="A28" s="44"/>
      <c r="B28" s="47" t="s">
        <v>67</v>
      </c>
      <c r="C28" s="65"/>
      <c r="D28" s="78"/>
      <c r="E28" s="65"/>
      <c r="F28" s="84"/>
      <c r="G28" s="83">
        <f>G8*5%</f>
        <v>1463.352</v>
      </c>
      <c r="H28" s="83">
        <f>H8*5%</f>
        <v>1463.352</v>
      </c>
      <c r="I28" s="91">
        <f>I8*5%</f>
        <v>1480.464</v>
      </c>
      <c r="J28" s="80">
        <f>J8*5%</f>
        <v>123.37200000000001</v>
      </c>
      <c r="K28" s="80">
        <f aca="true" t="shared" si="7" ref="K28:U28">K8*5%</f>
        <v>123.37200000000001</v>
      </c>
      <c r="L28" s="80">
        <f t="shared" si="7"/>
        <v>123.37200000000001</v>
      </c>
      <c r="M28" s="80">
        <f t="shared" si="7"/>
        <v>123.37200000000001</v>
      </c>
      <c r="N28" s="80">
        <f t="shared" si="7"/>
        <v>123.37200000000001</v>
      </c>
      <c r="O28" s="80">
        <f t="shared" si="7"/>
        <v>123.37200000000001</v>
      </c>
      <c r="P28" s="80">
        <f t="shared" si="7"/>
        <v>123.37200000000001</v>
      </c>
      <c r="Q28" s="80">
        <f t="shared" si="7"/>
        <v>123.37200000000001</v>
      </c>
      <c r="R28" s="80">
        <f t="shared" si="7"/>
        <v>123.37200000000001</v>
      </c>
      <c r="S28" s="80">
        <f t="shared" si="7"/>
        <v>123.37200000000001</v>
      </c>
      <c r="T28" s="80">
        <f t="shared" si="7"/>
        <v>123.37200000000001</v>
      </c>
      <c r="U28" s="80">
        <f t="shared" si="7"/>
        <v>123.37200000000001</v>
      </c>
      <c r="V28" s="81">
        <f t="shared" si="5"/>
        <v>1480.4640000000006</v>
      </c>
      <c r="W28" s="89"/>
    </row>
    <row r="29" spans="1:23" ht="13.5" customHeight="1" thickBot="1">
      <c r="A29" s="101" t="s">
        <v>44</v>
      </c>
      <c r="B29" s="64" t="s">
        <v>56</v>
      </c>
      <c r="C29" s="65"/>
      <c r="D29" s="78"/>
      <c r="E29" s="65"/>
      <c r="F29" s="65"/>
      <c r="G29" s="65"/>
      <c r="H29" s="65"/>
      <c r="I29" s="65"/>
      <c r="J29" s="82">
        <f>SUM(J8+J9-J12)-J28</f>
        <v>-186.8220000000003</v>
      </c>
      <c r="K29" s="82">
        <f aca="true" t="shared" si="8" ref="K29:U29">SUM(K8+K9-K12)-K28</f>
        <v>-508.0619999999996</v>
      </c>
      <c r="L29" s="82">
        <f t="shared" si="8"/>
        <v>-862.2920000000001</v>
      </c>
      <c r="M29" s="82">
        <f t="shared" si="8"/>
        <v>-116.1119999999998</v>
      </c>
      <c r="N29" s="82">
        <f t="shared" si="8"/>
        <v>-223.17199999999974</v>
      </c>
      <c r="O29" s="82">
        <f t="shared" si="8"/>
        <v>-416.23200000000014</v>
      </c>
      <c r="P29" s="82">
        <f t="shared" si="8"/>
        <v>-280.662</v>
      </c>
      <c r="Q29" s="82">
        <f t="shared" si="8"/>
        <v>-965.8520000000001</v>
      </c>
      <c r="R29" s="82">
        <f t="shared" si="8"/>
        <v>-2137.892</v>
      </c>
      <c r="S29" s="82">
        <f t="shared" si="8"/>
        <v>107.98800000000011</v>
      </c>
      <c r="T29" s="82">
        <f t="shared" si="8"/>
        <v>-323.2720000000001</v>
      </c>
      <c r="U29" s="82">
        <f t="shared" si="8"/>
        <v>-312.1920000000002</v>
      </c>
      <c r="V29" s="102">
        <f t="shared" si="5"/>
        <v>-6224.573999999999</v>
      </c>
      <c r="W29" s="70"/>
    </row>
    <row r="30" spans="1:23" ht="29.25" customHeight="1" thickBot="1">
      <c r="A30" s="63" t="s">
        <v>45</v>
      </c>
      <c r="B30" s="107" t="s">
        <v>25</v>
      </c>
      <c r="C30" s="47">
        <v>-4400.39</v>
      </c>
      <c r="D30" s="18">
        <f>SUM(D8-D12)</f>
        <v>-5635.070000000003</v>
      </c>
      <c r="E30" s="58">
        <f>SUM(E8-E12)</f>
        <v>-2198.2800000000025</v>
      </c>
      <c r="F30" s="58">
        <f>SUM(F8-F12)</f>
        <v>-12936.770000000008</v>
      </c>
      <c r="G30" s="81">
        <f>SUM(G8-G12)-G28</f>
        <v>-12487.392000000002</v>
      </c>
      <c r="H30" s="81">
        <f>SUM(H8-H12)-H28</f>
        <v>-9520.321999999995</v>
      </c>
      <c r="I30" s="81">
        <f>SUM(I8-I12)-I28</f>
        <v>-2906.133999999998</v>
      </c>
      <c r="J30" s="108">
        <f>SUM(J8+J9-J12)-J28</f>
        <v>-186.8220000000003</v>
      </c>
      <c r="K30" s="109">
        <f>SUM(K29+J30)</f>
        <v>-694.8839999999999</v>
      </c>
      <c r="L30" s="109">
        <f aca="true" t="shared" si="9" ref="L30:U30">SUM(L29+K30)</f>
        <v>-1557.176</v>
      </c>
      <c r="M30" s="109">
        <f t="shared" si="9"/>
        <v>-1673.2879999999998</v>
      </c>
      <c r="N30" s="109">
        <f t="shared" si="9"/>
        <v>-1896.4599999999996</v>
      </c>
      <c r="O30" s="109">
        <f t="shared" si="9"/>
        <v>-2312.6919999999996</v>
      </c>
      <c r="P30" s="109">
        <f t="shared" si="9"/>
        <v>-2593.3539999999994</v>
      </c>
      <c r="Q30" s="109">
        <f t="shared" si="9"/>
        <v>-3559.205999999999</v>
      </c>
      <c r="R30" s="109">
        <f t="shared" si="9"/>
        <v>-5697.097999999999</v>
      </c>
      <c r="S30" s="109">
        <f t="shared" si="9"/>
        <v>-5589.109999999999</v>
      </c>
      <c r="T30" s="109">
        <f t="shared" si="9"/>
        <v>-5912.381999999999</v>
      </c>
      <c r="U30" s="109">
        <f t="shared" si="9"/>
        <v>-6224.573999999999</v>
      </c>
      <c r="V30" s="58"/>
      <c r="W30" s="53"/>
    </row>
    <row r="31" spans="1:23" ht="23.25" customHeight="1" hidden="1" thickBot="1">
      <c r="A31" s="103" t="s">
        <v>46</v>
      </c>
      <c r="B31" s="48" t="s">
        <v>26</v>
      </c>
      <c r="C31" s="48">
        <v>-4400.39</v>
      </c>
      <c r="D31" s="104">
        <f>SUM(D8-D12,C31)</f>
        <v>-10035.460000000003</v>
      </c>
      <c r="E31" s="105">
        <f>SUM(E8-E12,D31)</f>
        <v>-12233.740000000005</v>
      </c>
      <c r="F31" s="105">
        <f>SUM(F8-F12,E31)</f>
        <v>-25170.510000000013</v>
      </c>
      <c r="G31" s="106">
        <f>SUM(G30+F31)</f>
        <v>-37657.90200000002</v>
      </c>
      <c r="H31" s="106">
        <f>SUM(H30+G31)</f>
        <v>-47178.22400000001</v>
      </c>
      <c r="I31" s="106">
        <f>SUM(I30+H31)</f>
        <v>-50084.35800000001</v>
      </c>
      <c r="J31" s="106">
        <f>SUM(J30+I31)</f>
        <v>-50271.18000000001</v>
      </c>
      <c r="K31" s="91">
        <f>SUM(K29+J31)</f>
        <v>-50779.242000000006</v>
      </c>
      <c r="L31" s="91">
        <f aca="true" t="shared" si="10" ref="L31:T31">SUM(L29+K31)</f>
        <v>-51641.53400000001</v>
      </c>
      <c r="M31" s="91">
        <f t="shared" si="10"/>
        <v>-51757.64600000001</v>
      </c>
      <c r="N31" s="91">
        <f t="shared" si="10"/>
        <v>-51980.81800000001</v>
      </c>
      <c r="O31" s="91">
        <f t="shared" si="10"/>
        <v>-52397.05000000001</v>
      </c>
      <c r="P31" s="91">
        <f t="shared" si="10"/>
        <v>-52677.71200000001</v>
      </c>
      <c r="Q31" s="91">
        <f t="shared" si="10"/>
        <v>-53643.564000000006</v>
      </c>
      <c r="R31" s="91">
        <f t="shared" si="10"/>
        <v>-55781.456000000006</v>
      </c>
      <c r="S31" s="91">
        <f t="shared" si="10"/>
        <v>-55673.46800000001</v>
      </c>
      <c r="T31" s="91">
        <f t="shared" si="10"/>
        <v>-55996.740000000005</v>
      </c>
      <c r="U31" s="91">
        <f>SUM(U29+T31)+0.01</f>
        <v>-56308.922000000006</v>
      </c>
      <c r="V31" s="105"/>
      <c r="W31" s="31"/>
    </row>
    <row r="32" spans="1:23" ht="21.75" customHeight="1" hidden="1" thickBot="1">
      <c r="A32" s="44" t="s">
        <v>47</v>
      </c>
      <c r="B32" s="47" t="s">
        <v>9</v>
      </c>
      <c r="C32" s="48"/>
      <c r="D32" s="48"/>
      <c r="E32" s="71"/>
      <c r="F32" s="71"/>
      <c r="G32" s="71"/>
      <c r="H32" s="71"/>
      <c r="I32" s="71"/>
      <c r="J32" s="13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0"/>
      <c r="V32" s="59"/>
      <c r="W32" s="23"/>
    </row>
    <row r="33" spans="1:23" ht="15" customHeight="1" hidden="1" thickBot="1">
      <c r="A33" s="45" t="s">
        <v>48</v>
      </c>
      <c r="B33" s="41" t="s">
        <v>27</v>
      </c>
      <c r="C33" s="48"/>
      <c r="D33" s="48"/>
      <c r="E33" s="71"/>
      <c r="F33" s="71"/>
      <c r="G33" s="71"/>
      <c r="H33" s="71"/>
      <c r="I33" s="71"/>
      <c r="J33" s="13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20"/>
      <c r="V33" s="58"/>
      <c r="W33" s="22"/>
    </row>
    <row r="34" spans="1:23" ht="24" customHeight="1" hidden="1" thickBot="1">
      <c r="A34" s="45" t="s">
        <v>50</v>
      </c>
      <c r="B34" s="42" t="s">
        <v>51</v>
      </c>
      <c r="C34" s="49"/>
      <c r="D34" s="49"/>
      <c r="E34" s="66"/>
      <c r="F34" s="66"/>
      <c r="G34" s="66"/>
      <c r="H34" s="66"/>
      <c r="I34" s="66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>
        <f>SUM(U30-U32)</f>
        <v>-6224.573999999999</v>
      </c>
      <c r="V34" s="60"/>
      <c r="W34" s="30"/>
    </row>
    <row r="35" spans="1:23" ht="21.75" customHeight="1" hidden="1" thickBot="1">
      <c r="A35" s="63" t="s">
        <v>55</v>
      </c>
      <c r="B35" s="42" t="s">
        <v>28</v>
      </c>
      <c r="C35" s="49"/>
      <c r="D35" s="66"/>
      <c r="E35" s="66"/>
      <c r="F35" s="66"/>
      <c r="G35" s="66"/>
      <c r="H35" s="66"/>
      <c r="I35" s="66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>
        <f>SUM(U31-U32)</f>
        <v>-56308.922000000006</v>
      </c>
      <c r="V35" s="60"/>
      <c r="W35" s="30"/>
    </row>
    <row r="36" spans="3:23" ht="24" customHeight="1" hidden="1">
      <c r="C36" s="25"/>
      <c r="D36" s="25"/>
      <c r="E36" s="25"/>
      <c r="F36" s="25"/>
      <c r="G36" s="25"/>
      <c r="H36" s="25"/>
      <c r="I36" s="2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7"/>
    </row>
    <row r="37" ht="0.75" customHeight="1" hidden="1"/>
    <row r="38" ht="12.75" hidden="1"/>
    <row r="39" ht="12.75" hidden="1"/>
    <row r="40" ht="12.75" hidden="1"/>
    <row r="41" ht="12.75">
      <c r="B41" t="s">
        <v>72</v>
      </c>
    </row>
    <row r="45" ht="12.75" customHeight="1"/>
    <row r="46" ht="12.75" customHeight="1"/>
  </sheetData>
  <sheetProtection/>
  <mergeCells count="5">
    <mergeCell ref="B4:W4"/>
    <mergeCell ref="B5:W5"/>
    <mergeCell ref="B3:W3"/>
    <mergeCell ref="B1:L1"/>
    <mergeCell ref="B2:S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2018-02-08T06:48:31Z</cp:lastPrinted>
  <dcterms:created xsi:type="dcterms:W3CDTF">2011-06-16T11:06:26Z</dcterms:created>
  <dcterms:modified xsi:type="dcterms:W3CDTF">2018-02-12T08:16:57Z</dcterms:modified>
  <cp:category/>
  <cp:version/>
  <cp:contentType/>
  <cp:contentStatus/>
</cp:coreProperties>
</file>