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<sst xmlns="http://schemas.openxmlformats.org/spreadsheetml/2006/main" count="82" uniqueCount="82">
  <si>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</si>
  <si>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</si>
  <si>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</si>
  <si>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</si>
  <si>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</si>
  <si>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</si>
  <si>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</si>
  <si>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</si>
  <si>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</si>
  <si>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</si>
  <si>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</si>
  <si>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</si>
  <si>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</si>
  <si>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</si>
  <si>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</si>
  <si>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</si>
  <si>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</si>
  <si>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</si>
  <si>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</si>
  <si>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</si>
  <si>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</si>
  <si>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</si>
  <si>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</si>
  <si>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</si>
  <si>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</si>
  <si>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</si>
  <si>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</si>
  <si>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</si>
  <si>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</si>
  <si>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</si>
  <si>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</si>
  <si>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</si>
  <si>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</si>
  <si>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</si>
  <si>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</si>
  <si>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</si>
  <si>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</si>
  <si>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</si>
  <si>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</si>
  <si>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</si>
  <si>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</si>
  <si>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</si>
  <si>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</si>
  <si>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</si>
  <si>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</si>
  <si>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</si>
  <si>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</si>
  <si>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</si>
  <si>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</si>
  <si>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</si>
  <si>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</si>
  <si>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</si>
  <si>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Первомайская д.9 А</t>
  </si>
  <si>
    <t>Благоустройство  территории</t>
  </si>
  <si>
    <t>11</t>
  </si>
  <si>
    <t>Итого за 2011 г</t>
  </si>
  <si>
    <t>Результат за месяц</t>
  </si>
  <si>
    <t>Исполнитель /Викторова Л.С./</t>
  </si>
  <si>
    <t>Дом по ул.Первомайская д.9 А вступил в ООО "Наш дом" с апреля 2010 года              тариф 9,2 руб</t>
  </si>
  <si>
    <t>Итого за 2012 г</t>
  </si>
  <si>
    <t>4.13</t>
  </si>
  <si>
    <t>4.14</t>
  </si>
  <si>
    <t xml:space="preserve">Материалы </t>
  </si>
  <si>
    <t xml:space="preserve">%  оплаты </t>
  </si>
  <si>
    <t>Итого за 2013 г</t>
  </si>
  <si>
    <t>Итого за 2014</t>
  </si>
  <si>
    <t>рентабельность 5%</t>
  </si>
  <si>
    <t>Итого за 2015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</si>
  <si>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</si>
  <si>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</si>
  <si>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</si>
  <si>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Итого за 2016</t>
  </si>
  <si>
    <t>4.4</t>
  </si>
  <si>
    <t>Проверка вент.каналов</t>
  </si>
  <si>
    <t>Итого за 2017</t>
  </si>
  <si>
    <t>Всего за 2010-2017</t>
  </si>
  <si>
    <t>Начислено  СОИД</t>
  </si>
  <si>
    <t>Электроэнергия СОИД</t>
  </si>
  <si>
    <t>Горячая вода СОИД</t>
  </si>
  <si>
    <t>Холодная вода СОИД</t>
  </si>
  <si>
    <t>Канализация СОИД</t>
  </si>
  <si>
    <t>Транспортные(ГСМ,зап.части,амортизация,страхован)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</si>
</sst>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0" fontId="24" fillId="0" borderId="27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1" fillId="0" borderId="27" xfId="0" applyFont="1" applyBorder="1" applyAlignment="1">
      <alignment wrapText="1"/>
    </xf>
    <xf numFmtId="49" fontId="0" fillId="0" borderId="36" xfId="0" applyNumberFormat="1" applyBorder="1" applyAlignment="1">
      <alignment horizontal="center"/>
    </xf>
    <xf numFmtId="1" fontId="21" fillId="0" borderId="38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25" fillId="0" borderId="27" xfId="0" applyFont="1" applyBorder="1" applyAlignment="1">
      <alignment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1" fontId="21" fillId="0" borderId="33" xfId="0" applyNumberFormat="1" applyFont="1" applyBorder="1" applyAlignment="1">
      <alignment horizontal="center"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1" fontId="20" fillId="0" borderId="41" xfId="0" applyNumberFormat="1" applyFont="1" applyBorder="1" applyAlignment="1">
      <alignment horizontal="center"/>
    </xf>
    <xf numFmtId="0" fontId="21" fillId="0" borderId="40" xfId="0" applyFont="1" applyBorder="1" applyAlignment="1">
      <alignment wrapText="1"/>
    </xf>
    <xf numFmtId="2" fontId="21" fillId="0" borderId="42" xfId="0" applyNumberFormat="1" applyFont="1" applyBorder="1" applyAlignment="1">
      <alignment horizontal="right" wrapText="1"/>
    </xf>
    <xf numFmtId="0" fontId="26" fillId="0" borderId="32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6" fillId="0" borderId="43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/>
    </xf>
    <xf numFmtId="2" fontId="21" fillId="0" borderId="49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0" fontId="26" fillId="0" borderId="37" xfId="0" applyFont="1" applyBorder="1" applyAlignment="1">
      <alignment wrapText="1"/>
    </xf>
    <xf numFmtId="2" fontId="27" fillId="0" borderId="35" xfId="0" applyNumberFormat="1" applyFont="1" applyBorder="1" applyAlignment="1">
      <alignment/>
    </xf>
    <xf numFmtId="2" fontId="27" fillId="0" borderId="39" xfId="0" applyNumberFormat="1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2" fontId="21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A13">
      <selection activeCell="B31" sqref="B31:V31"/>
    </sheetView>
  </sheetViews>
  <sheetFormatPr defaultColWidth="9.00390625" defaultRowHeight="12.75"/>
  <cols>
    <col min="1" max="1" width="0.12890625" style="28" customWidth="1"/>
    <col min="2" max="2" width="22.125" style="0" customWidth="1"/>
    <col min="3" max="3" width="8.625" style="0" hidden="1" customWidth="1"/>
    <col min="4" max="4" width="8.00390625" style="0" hidden="1" customWidth="1"/>
    <col min="5" max="5" width="10.25390625" style="0" hidden="1" customWidth="1"/>
    <col min="6" max="6" width="9.625" style="0" hidden="1" customWidth="1"/>
    <col min="7" max="7" width="9.375" style="0" hidden="1" customWidth="1"/>
    <col min="8" max="8" width="9.75390625" style="0" hidden="1" customWidth="1"/>
    <col min="9" max="9" width="9.375" style="0" hidden="1" customWidth="1"/>
    <col min="10" max="10" width="7.875" style="0" customWidth="1"/>
    <col min="11" max="11" width="8.625" style="0" customWidth="1"/>
    <col min="12" max="13" width="8.375" style="0" customWidth="1"/>
    <col min="15" max="18" width="8.75390625" style="0" customWidth="1"/>
    <col min="19" max="19" width="8.125" style="0" customWidth="1"/>
    <col min="20" max="20" width="8.75390625" style="0" customWidth="1"/>
    <col min="21" max="21" width="9.00390625" style="0" customWidth="1"/>
    <col min="22" max="22" width="10.625" style="0" customWidth="1"/>
    <col min="23" max="23" width="10.25390625" style="0" hidden="1" customWidth="1"/>
  </cols>
  <sheetData>
    <row r="1" spans="2:28" ht="12.75" customHeight="1">
      <c r="B1" s="91" t="s">
        <v>10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 customHeight="1">
      <c r="B2" s="91" t="s">
        <v>58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4"/>
      <c r="U2" s="4"/>
      <c r="V2" s="4"/>
      <c r="W2" s="4"/>
      <c r="X2" s="4"/>
      <c r="Y2" s="4"/>
      <c r="Z2" s="4"/>
      <c r="AA2" s="4"/>
      <c r="AB2" s="4"/>
    </row>
    <row r="3" spans="2:28" ht="12.75" customHeight="1">
      <c r="B3" s="90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3"/>
      <c r="Y3" s="3"/>
      <c r="Z3" s="3"/>
      <c r="AA3" s="3"/>
      <c r="AB3" s="3"/>
    </row>
    <row r="4" spans="2:28" ht="15" customHeight="1">
      <c r="B4" s="89" t="s">
        <v>12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2"/>
      <c r="Y4" s="2"/>
      <c r="Z4" s="2"/>
      <c r="AA4" s="2"/>
      <c r="AB4" s="2"/>
    </row>
    <row r="5" spans="2:28" ht="16.5" customHeight="1">
      <c r="B5" s="89" t="s">
        <v>52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2"/>
      <c r="Y5" s="2"/>
      <c r="Z5" s="2"/>
      <c r="AA5" s="2"/>
      <c r="AB5" s="2"/>
    </row>
    <row r="6" spans="2:28" ht="1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</row>
    <row r="7" spans="1:28" ht="28.5" customHeight="1" thickBot="1">
      <c r="A7" s="39" t="s">
        <v>29</v>
      </c>
      <c r="B7" s="29" t="s">
        <v>8</v>
      </c>
      <c r="C7" s="42" t="s">
        <v>49</v>
      </c>
      <c r="D7" s="58" t="s">
        <v>55</v>
      </c>
      <c r="E7" s="58" t="s">
        <v>59</v>
      </c>
      <c r="F7" s="58" t="s">
        <v>64</v>
      </c>
      <c r="G7" s="58" t="s">
        <v>65</v>
      </c>
      <c r="H7" s="58" t="s">
        <v>67</v>
      </c>
      <c r="I7" s="58" t="s">
        <v>71</v>
      </c>
      <c r="J7" s="6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24</v>
      </c>
      <c r="U7" s="16" t="s">
        <v>23</v>
      </c>
      <c r="V7" s="58" t="s">
        <v>74</v>
      </c>
      <c r="W7" s="52" t="s">
        <v>75</v>
      </c>
      <c r="X7" s="1"/>
      <c r="Y7" s="1"/>
      <c r="Z7" s="1"/>
      <c r="AA7" s="1"/>
      <c r="AB7" s="1"/>
    </row>
    <row r="8" spans="1:23" ht="13.5" thickBot="1">
      <c r="A8" s="40" t="s">
        <v>30</v>
      </c>
      <c r="B8" s="30" t="s">
        <v>1</v>
      </c>
      <c r="C8" s="67">
        <v>229368.88</v>
      </c>
      <c r="D8" s="71">
        <v>305456.56</v>
      </c>
      <c r="E8" s="67">
        <v>305536.6</v>
      </c>
      <c r="F8" s="67">
        <v>305220.12</v>
      </c>
      <c r="G8" s="84">
        <v>305182.4</v>
      </c>
      <c r="H8" s="67">
        <v>307253.6</v>
      </c>
      <c r="I8" s="67">
        <v>305011.28</v>
      </c>
      <c r="J8" s="7">
        <v>25412.24</v>
      </c>
      <c r="K8" s="8">
        <v>25412.24</v>
      </c>
      <c r="L8" s="8">
        <v>25412.24</v>
      </c>
      <c r="M8" s="8">
        <v>25397.52</v>
      </c>
      <c r="N8" s="8">
        <v>25385.56</v>
      </c>
      <c r="O8" s="8">
        <v>25385.56</v>
      </c>
      <c r="P8" s="8">
        <v>25385.56</v>
      </c>
      <c r="Q8" s="8">
        <v>25385.56</v>
      </c>
      <c r="R8" s="8">
        <v>25385.56</v>
      </c>
      <c r="S8" s="8">
        <v>25385.56</v>
      </c>
      <c r="T8" s="8">
        <v>25398.44</v>
      </c>
      <c r="U8" s="17">
        <v>25398.44</v>
      </c>
      <c r="V8" s="59">
        <f>SUM(J8:U8)</f>
        <v>304744.48</v>
      </c>
      <c r="W8" s="87">
        <f>SUM(C8:U8)</f>
        <v>2367773.920000001</v>
      </c>
    </row>
    <row r="9" spans="1:23" ht="12.75">
      <c r="A9" s="40"/>
      <c r="B9" s="30" t="s">
        <v>76</v>
      </c>
      <c r="C9" s="84"/>
      <c r="D9" s="71"/>
      <c r="E9" s="84"/>
      <c r="F9" s="84"/>
      <c r="G9" s="84"/>
      <c r="H9" s="84"/>
      <c r="I9" s="84"/>
      <c r="J9" s="7">
        <f>1896.6+90.85+597.37</f>
        <v>2584.8199999999997</v>
      </c>
      <c r="K9" s="8">
        <f>1896.6+90.85+597.37</f>
        <v>2584.8199999999997</v>
      </c>
      <c r="L9" s="8">
        <f>1896.6+91.95+617.46</f>
        <v>2606.01</v>
      </c>
      <c r="M9" s="8">
        <f>1896.55+92+617.46</f>
        <v>2606.01</v>
      </c>
      <c r="N9" s="8">
        <f>1896.58+91.98+617.4</f>
        <v>2605.96</v>
      </c>
      <c r="O9" s="8">
        <f>2373.24+97.7+140.12+424.49</f>
        <v>3035.5499999999993</v>
      </c>
      <c r="P9" s="8">
        <f>2489.3+98.66+143.49+439.14</f>
        <v>3170.5899999999997</v>
      </c>
      <c r="Q9" s="8">
        <f>2489.3+98.66+143.49+439.14</f>
        <v>3170.5899999999997</v>
      </c>
      <c r="R9" s="8">
        <f>2489.3+98.66+143.49+439.14</f>
        <v>3170.5899999999997</v>
      </c>
      <c r="S9" s="8">
        <f>2489.3+98.66+143.49+439.14</f>
        <v>3170.5899999999997</v>
      </c>
      <c r="T9" s="8">
        <f>2489.29+98.59+143.45+439.19</f>
        <v>3170.52</v>
      </c>
      <c r="U9" s="17">
        <f>2489.29+98.59+143.45+439.19</f>
        <v>3170.52</v>
      </c>
      <c r="V9" s="59">
        <f>SUM(J9:U9)</f>
        <v>35046.57</v>
      </c>
      <c r="W9" s="87">
        <f>SUM(C9:U9)</f>
        <v>35046.57</v>
      </c>
    </row>
    <row r="10" spans="1:23" ht="12.75">
      <c r="A10" s="40" t="s">
        <v>31</v>
      </c>
      <c r="B10" s="31" t="s">
        <v>2</v>
      </c>
      <c r="C10" s="68">
        <v>190216.84</v>
      </c>
      <c r="D10" s="72">
        <v>303483.88</v>
      </c>
      <c r="E10" s="68">
        <v>300396.71</v>
      </c>
      <c r="F10" s="68">
        <v>318270.5</v>
      </c>
      <c r="G10" s="68">
        <v>306957.91</v>
      </c>
      <c r="H10" s="68">
        <v>305831.99</v>
      </c>
      <c r="I10" s="68">
        <v>303206.68</v>
      </c>
      <c r="J10" s="9">
        <v>24558.58</v>
      </c>
      <c r="K10" s="10">
        <v>27383.99</v>
      </c>
      <c r="L10" s="10">
        <v>27205.16</v>
      </c>
      <c r="M10" s="10">
        <v>26798.73</v>
      </c>
      <c r="N10" s="10">
        <v>29198.95</v>
      </c>
      <c r="O10" s="10">
        <v>25669.13</v>
      </c>
      <c r="P10" s="10">
        <v>29196.48</v>
      </c>
      <c r="Q10" s="10">
        <v>26965.53</v>
      </c>
      <c r="R10" s="10">
        <v>27572.1</v>
      </c>
      <c r="S10" s="10">
        <v>25993.6</v>
      </c>
      <c r="T10" s="10">
        <v>28217.77</v>
      </c>
      <c r="U10" s="18">
        <v>27369.51</v>
      </c>
      <c r="V10" s="59">
        <f>SUM(J10:U10)</f>
        <v>326129.53</v>
      </c>
      <c r="W10" s="88">
        <f>SUM(C10:U10)</f>
        <v>2354494.0399999996</v>
      </c>
    </row>
    <row r="11" spans="1:23" ht="15" customHeight="1" thickBot="1">
      <c r="A11" s="40" t="s">
        <v>32</v>
      </c>
      <c r="B11" s="32" t="s">
        <v>63</v>
      </c>
      <c r="C11" s="60">
        <f aca="true" t="shared" si="0" ref="C11:J11">SUM(C10/C8*100)</f>
        <v>82.93053530191192</v>
      </c>
      <c r="D11" s="51">
        <f t="shared" si="0"/>
        <v>99.35418640215158</v>
      </c>
      <c r="E11" s="60">
        <f t="shared" si="0"/>
        <v>98.31774982113437</v>
      </c>
      <c r="F11" s="60">
        <f t="shared" si="0"/>
        <v>104.27572730133257</v>
      </c>
      <c r="G11" s="60">
        <f t="shared" si="0"/>
        <v>100.58178649882822</v>
      </c>
      <c r="H11" s="60">
        <f>SUM(H10/H8*100)</f>
        <v>99.53731705665939</v>
      </c>
      <c r="I11" s="60">
        <f>SUM(I10/I8*100)</f>
        <v>99.40834975021251</v>
      </c>
      <c r="J11" s="22">
        <f t="shared" si="0"/>
        <v>96.640752645182</v>
      </c>
      <c r="K11" s="22">
        <f aca="true" t="shared" si="1" ref="K11:U11">SUM(K10/K8*100)</f>
        <v>107.75905626579947</v>
      </c>
      <c r="L11" s="22">
        <f t="shared" si="1"/>
        <v>107.05534026122845</v>
      </c>
      <c r="M11" s="22">
        <f t="shared" si="1"/>
        <v>105.51711348194625</v>
      </c>
      <c r="N11" s="22">
        <f t="shared" si="1"/>
        <v>115.02188645828572</v>
      </c>
      <c r="O11" s="22">
        <f t="shared" si="1"/>
        <v>101.11705237150571</v>
      </c>
      <c r="P11" s="22">
        <f t="shared" si="1"/>
        <v>115.01215651732717</v>
      </c>
      <c r="Q11" s="22">
        <f t="shared" si="1"/>
        <v>106.22389263817698</v>
      </c>
      <c r="R11" s="22">
        <f t="shared" si="1"/>
        <v>108.61332190426367</v>
      </c>
      <c r="S11" s="22">
        <f t="shared" si="1"/>
        <v>102.3952199596936</v>
      </c>
      <c r="T11" s="22">
        <f t="shared" si="1"/>
        <v>111.10040616667796</v>
      </c>
      <c r="U11" s="51">
        <f t="shared" si="1"/>
        <v>107.76059474518907</v>
      </c>
      <c r="V11" s="64">
        <f>SUM(V10/V8*100)</f>
        <v>107.01737074942261</v>
      </c>
      <c r="W11" s="64">
        <f>SUM(W10/W8*100)</f>
        <v>99.43914070985286</v>
      </c>
    </row>
    <row r="12" spans="1:23" ht="13.5" thickBot="1">
      <c r="A12" s="40" t="s">
        <v>33</v>
      </c>
      <c r="B12" s="33" t="s">
        <v>3</v>
      </c>
      <c r="C12" s="61">
        <f aca="true" t="shared" si="2" ref="C12:J12">SUM(C13:C28)</f>
        <v>197585.39</v>
      </c>
      <c r="D12" s="19">
        <f t="shared" si="2"/>
        <v>331292.04000000004</v>
      </c>
      <c r="E12" s="61">
        <f t="shared" si="2"/>
        <v>261976.37</v>
      </c>
      <c r="F12" s="61">
        <f t="shared" si="2"/>
        <v>290865.91000000003</v>
      </c>
      <c r="G12" s="61">
        <f t="shared" si="2"/>
        <v>279031.49</v>
      </c>
      <c r="H12" s="61">
        <f>SUM(H13:H28)</f>
        <v>316464.22</v>
      </c>
      <c r="I12" s="61">
        <f>SUM(I13:I28)</f>
        <v>301998.13</v>
      </c>
      <c r="J12" s="13">
        <f t="shared" si="2"/>
        <v>25071.690000000002</v>
      </c>
      <c r="K12" s="13">
        <f aca="true" t="shared" si="3" ref="K12:U12">SUM(K13:K28)</f>
        <v>23926.18</v>
      </c>
      <c r="L12" s="13">
        <f t="shared" si="3"/>
        <v>29280.51</v>
      </c>
      <c r="M12" s="13">
        <f t="shared" si="3"/>
        <v>25523.109999999997</v>
      </c>
      <c r="N12" s="13">
        <f t="shared" si="3"/>
        <v>27079.530000000002</v>
      </c>
      <c r="O12" s="13">
        <f t="shared" si="3"/>
        <v>27040.219999999998</v>
      </c>
      <c r="P12" s="13">
        <f t="shared" si="3"/>
        <v>27301.019999999997</v>
      </c>
      <c r="Q12" s="13">
        <f t="shared" si="3"/>
        <v>27375.020000000004</v>
      </c>
      <c r="R12" s="13">
        <f t="shared" si="3"/>
        <v>26978.960000000003</v>
      </c>
      <c r="S12" s="13">
        <f t="shared" si="3"/>
        <v>29162.390000000003</v>
      </c>
      <c r="T12" s="13">
        <f t="shared" si="3"/>
        <v>28715.43</v>
      </c>
      <c r="U12" s="19">
        <f t="shared" si="3"/>
        <v>32347.090000000007</v>
      </c>
      <c r="V12" s="61">
        <f>SUM(J12:U12)</f>
        <v>329801.14999999997</v>
      </c>
      <c r="W12" s="85">
        <f>SUM(C12:U12)</f>
        <v>2309014.7</v>
      </c>
    </row>
    <row r="13" spans="1:23" ht="13.5" thickBot="1">
      <c r="A13" s="40" t="s">
        <v>34</v>
      </c>
      <c r="B13" s="34" t="s">
        <v>5</v>
      </c>
      <c r="C13" s="46">
        <v>37059.8</v>
      </c>
      <c r="D13" s="73">
        <v>57517.28</v>
      </c>
      <c r="E13" s="46">
        <v>58892.94</v>
      </c>
      <c r="F13" s="46">
        <v>65512.19</v>
      </c>
      <c r="G13" s="46">
        <v>74104.71</v>
      </c>
      <c r="H13" s="46">
        <v>74040.86</v>
      </c>
      <c r="I13" s="46">
        <v>71482.74</v>
      </c>
      <c r="J13" s="7">
        <f>5512+68.15</f>
        <v>5580.15</v>
      </c>
      <c r="K13" s="8">
        <f>5512+320.28</f>
        <v>5832.28</v>
      </c>
      <c r="L13" s="8">
        <f>5512+188.07</f>
        <v>5700.07</v>
      </c>
      <c r="M13" s="8">
        <f>5512+596</f>
        <v>6108</v>
      </c>
      <c r="N13" s="8">
        <f>5512+297.49</f>
        <v>5809.49</v>
      </c>
      <c r="O13" s="8">
        <f>5406+178.63</f>
        <v>5584.63</v>
      </c>
      <c r="P13" s="8">
        <f>5512+286.48</f>
        <v>5798.48</v>
      </c>
      <c r="Q13" s="8">
        <f>5512+333.1</f>
        <v>5845.1</v>
      </c>
      <c r="R13" s="8">
        <f>5512+344.55</f>
        <v>5856.55</v>
      </c>
      <c r="S13" s="8">
        <f>5512+358.17</f>
        <v>5870.17</v>
      </c>
      <c r="T13" s="8">
        <f>5512+313.02</f>
        <v>5825.02</v>
      </c>
      <c r="U13" s="17">
        <f>5512+313.6</f>
        <v>5825.6</v>
      </c>
      <c r="V13" s="61">
        <f aca="true" t="shared" si="4" ref="V13:V30">SUM(J13:U13)</f>
        <v>69635.54</v>
      </c>
      <c r="W13" s="85">
        <f aca="true" t="shared" si="5" ref="W13:W28">SUM(C13:U13)</f>
        <v>508246.06</v>
      </c>
    </row>
    <row r="14" spans="1:23" ht="10.5" customHeight="1" thickBot="1">
      <c r="A14" s="40" t="s">
        <v>35</v>
      </c>
      <c r="B14" s="35" t="s">
        <v>68</v>
      </c>
      <c r="C14" s="47">
        <v>47801.72</v>
      </c>
      <c r="D14" s="74">
        <v>32267.35</v>
      </c>
      <c r="E14" s="47">
        <f>3376.94+3508</f>
        <v>6884.9400000000005</v>
      </c>
      <c r="F14" s="47">
        <f>3957.26+6688.58</f>
        <v>10645.84</v>
      </c>
      <c r="G14" s="47">
        <v>1594.34</v>
      </c>
      <c r="H14" s="47">
        <v>9611.26</v>
      </c>
      <c r="I14" s="47">
        <v>3195.15</v>
      </c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8">
        <v>3000</v>
      </c>
      <c r="V14" s="61">
        <f t="shared" si="4"/>
        <v>3000</v>
      </c>
      <c r="W14" s="85">
        <f t="shared" si="5"/>
        <v>115000.59999999999</v>
      </c>
    </row>
    <row r="15" spans="1:23" ht="15" customHeight="1" thickBot="1">
      <c r="A15" s="40" t="s">
        <v>36</v>
      </c>
      <c r="B15" s="32" t="s">
        <v>6</v>
      </c>
      <c r="C15" s="47">
        <v>0</v>
      </c>
      <c r="D15" s="74">
        <v>3945.68</v>
      </c>
      <c r="E15" s="47">
        <v>0</v>
      </c>
      <c r="F15" s="47">
        <v>0</v>
      </c>
      <c r="G15" s="47"/>
      <c r="H15" s="47">
        <v>8335</v>
      </c>
      <c r="I15" s="47">
        <v>0</v>
      </c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8"/>
      <c r="V15" s="61">
        <f t="shared" si="4"/>
        <v>0</v>
      </c>
      <c r="W15" s="85">
        <f t="shared" si="5"/>
        <v>12280.68</v>
      </c>
    </row>
    <row r="16" spans="1:23" ht="15.75" customHeight="1" thickBot="1">
      <c r="A16" s="40" t="s">
        <v>72</v>
      </c>
      <c r="B16" s="35" t="s">
        <v>62</v>
      </c>
      <c r="C16" s="47">
        <v>26830.59</v>
      </c>
      <c r="D16" s="74">
        <v>57926.62</v>
      </c>
      <c r="E16" s="47">
        <v>3290.13</v>
      </c>
      <c r="F16" s="47">
        <v>18036.35</v>
      </c>
      <c r="G16" s="47">
        <v>7376.19</v>
      </c>
      <c r="H16" s="47">
        <v>8566.95</v>
      </c>
      <c r="I16" s="47">
        <v>14302.03</v>
      </c>
      <c r="J16" s="9">
        <v>120</v>
      </c>
      <c r="K16" s="10">
        <v>126</v>
      </c>
      <c r="L16" s="10">
        <v>85</v>
      </c>
      <c r="M16" s="10">
        <v>64</v>
      </c>
      <c r="N16" s="10">
        <f>337.8+150</f>
        <v>487.8</v>
      </c>
      <c r="O16" s="10">
        <v>1031.16</v>
      </c>
      <c r="P16" s="10">
        <v>60</v>
      </c>
      <c r="Q16" s="10">
        <f>621+95</f>
        <v>716</v>
      </c>
      <c r="R16" s="10">
        <v>539</v>
      </c>
      <c r="S16" s="10">
        <f>2027.5+310</f>
        <v>2337.5</v>
      </c>
      <c r="T16" s="10">
        <v>1544.55</v>
      </c>
      <c r="U16" s="18">
        <v>2655.85</v>
      </c>
      <c r="V16" s="61">
        <f t="shared" si="4"/>
        <v>9766.86</v>
      </c>
      <c r="W16" s="85">
        <f t="shared" si="5"/>
        <v>146095.72</v>
      </c>
    </row>
    <row r="17" spans="1:23" ht="12" customHeight="1" thickBot="1">
      <c r="A17" s="40" t="s">
        <v>37</v>
      </c>
      <c r="B17" s="35" t="s">
        <v>73</v>
      </c>
      <c r="C17" s="47"/>
      <c r="D17" s="74"/>
      <c r="E17" s="47"/>
      <c r="F17" s="47"/>
      <c r="G17" s="47"/>
      <c r="H17" s="47"/>
      <c r="I17" s="47">
        <v>4700</v>
      </c>
      <c r="J17" s="9"/>
      <c r="K17" s="10"/>
      <c r="L17" s="10">
        <v>2800</v>
      </c>
      <c r="M17" s="10"/>
      <c r="N17" s="10"/>
      <c r="O17" s="10"/>
      <c r="P17" s="10"/>
      <c r="Q17" s="10"/>
      <c r="R17" s="10"/>
      <c r="S17" s="10"/>
      <c r="T17" s="10"/>
      <c r="U17" s="18"/>
      <c r="V17" s="61">
        <f>SUM(J17:U17)</f>
        <v>2800</v>
      </c>
      <c r="W17" s="85">
        <f>SUM(C17:U17)</f>
        <v>7500</v>
      </c>
    </row>
    <row r="18" spans="1:23" ht="24.75" customHeight="1" thickBot="1">
      <c r="A18" s="40" t="s">
        <v>38</v>
      </c>
      <c r="B18" s="35" t="s">
        <v>53</v>
      </c>
      <c r="C18" s="47">
        <v>0</v>
      </c>
      <c r="D18" s="74">
        <v>5375.44</v>
      </c>
      <c r="E18" s="47">
        <v>256</v>
      </c>
      <c r="F18" s="47">
        <v>0</v>
      </c>
      <c r="G18" s="47">
        <v>713.93</v>
      </c>
      <c r="H18" s="47">
        <v>52.96</v>
      </c>
      <c r="I18" s="47">
        <v>186</v>
      </c>
      <c r="J18" s="9">
        <v>8</v>
      </c>
      <c r="K18" s="10">
        <v>94.94</v>
      </c>
      <c r="L18" s="10"/>
      <c r="M18" s="10"/>
      <c r="N18" s="10"/>
      <c r="O18" s="10"/>
      <c r="P18" s="10"/>
      <c r="Q18" s="10"/>
      <c r="R18" s="10"/>
      <c r="S18" s="10"/>
      <c r="T18" s="10"/>
      <c r="U18" s="18">
        <v>210.77</v>
      </c>
      <c r="V18" s="61">
        <f t="shared" si="4"/>
        <v>313.71000000000004</v>
      </c>
      <c r="W18" s="85">
        <f t="shared" si="5"/>
        <v>6898.04</v>
      </c>
    </row>
    <row r="19" spans="1:23" ht="15.75" customHeight="1" thickBot="1">
      <c r="A19" s="40" t="s">
        <v>39</v>
      </c>
      <c r="B19" s="35" t="s">
        <v>77</v>
      </c>
      <c r="C19" s="47">
        <v>4122.8</v>
      </c>
      <c r="D19" s="74">
        <v>7916.84</v>
      </c>
      <c r="E19" s="47">
        <v>5408.88</v>
      </c>
      <c r="F19" s="47">
        <v>0</v>
      </c>
      <c r="G19" s="47"/>
      <c r="H19" s="47">
        <v>0</v>
      </c>
      <c r="I19" s="47">
        <v>0</v>
      </c>
      <c r="J19" s="9">
        <v>1896.6</v>
      </c>
      <c r="K19" s="10">
        <v>1896.6</v>
      </c>
      <c r="L19" s="10">
        <v>1896.6</v>
      </c>
      <c r="M19" s="10">
        <v>1896.55</v>
      </c>
      <c r="N19" s="10">
        <v>1896.58</v>
      </c>
      <c r="O19" s="10">
        <v>2373.24</v>
      </c>
      <c r="P19" s="10">
        <v>2489.3</v>
      </c>
      <c r="Q19" s="10">
        <v>2489.3</v>
      </c>
      <c r="R19" s="10">
        <v>2489.3</v>
      </c>
      <c r="S19" s="10">
        <v>2489.3</v>
      </c>
      <c r="T19" s="10">
        <v>2489.29</v>
      </c>
      <c r="U19" s="18">
        <v>2489.29</v>
      </c>
      <c r="V19" s="61">
        <f t="shared" si="4"/>
        <v>26791.95</v>
      </c>
      <c r="W19" s="85">
        <f t="shared" si="5"/>
        <v>44240.47</v>
      </c>
    </row>
    <row r="20" spans="1:23" ht="15.75" customHeight="1" thickBot="1">
      <c r="A20" s="40"/>
      <c r="B20" s="35" t="s">
        <v>79</v>
      </c>
      <c r="C20" s="47"/>
      <c r="D20" s="74"/>
      <c r="E20" s="47"/>
      <c r="F20" s="47"/>
      <c r="G20" s="47"/>
      <c r="H20" s="47"/>
      <c r="I20" s="47"/>
      <c r="J20" s="9"/>
      <c r="K20" s="10"/>
      <c r="L20" s="10"/>
      <c r="M20" s="10"/>
      <c r="N20" s="10">
        <v>367.76</v>
      </c>
      <c r="O20" s="10">
        <v>189.63</v>
      </c>
      <c r="P20" s="10">
        <v>98.62</v>
      </c>
      <c r="Q20" s="10">
        <v>98.62</v>
      </c>
      <c r="R20" s="10">
        <v>98.62</v>
      </c>
      <c r="S20" s="10">
        <v>98.62</v>
      </c>
      <c r="T20" s="10">
        <v>98.62</v>
      </c>
      <c r="U20" s="18">
        <v>98.62</v>
      </c>
      <c r="V20" s="61">
        <f>SUM(J20:U20)</f>
        <v>1149.1100000000001</v>
      </c>
      <c r="W20" s="85">
        <f>SUM(C20:U20)</f>
        <v>1149.1100000000001</v>
      </c>
    </row>
    <row r="21" spans="1:23" ht="15.75" customHeight="1" thickBot="1">
      <c r="A21" s="40"/>
      <c r="B21" s="35" t="s">
        <v>78</v>
      </c>
      <c r="C21" s="47"/>
      <c r="D21" s="74"/>
      <c r="E21" s="47"/>
      <c r="F21" s="47"/>
      <c r="G21" s="47"/>
      <c r="H21" s="47"/>
      <c r="I21" s="47"/>
      <c r="J21" s="9"/>
      <c r="K21" s="10"/>
      <c r="L21" s="10">
        <f>1203.96+594.39</f>
        <v>1798.35</v>
      </c>
      <c r="M21" s="10">
        <v>647.44</v>
      </c>
      <c r="N21" s="10">
        <v>617.44</v>
      </c>
      <c r="O21" s="10">
        <v>391.9</v>
      </c>
      <c r="P21" s="10">
        <v>218.48</v>
      </c>
      <c r="Q21" s="10">
        <v>439.14</v>
      </c>
      <c r="R21" s="10">
        <v>439.16</v>
      </c>
      <c r="S21" s="10">
        <v>439.16</v>
      </c>
      <c r="T21" s="10">
        <v>439.16</v>
      </c>
      <c r="U21" s="18">
        <v>439.16</v>
      </c>
      <c r="V21" s="61">
        <f>SUM(J21:U21)</f>
        <v>5869.389999999999</v>
      </c>
      <c r="W21" s="85">
        <f>SUM(C21:U21)</f>
        <v>5869.389999999999</v>
      </c>
    </row>
    <row r="22" spans="1:23" ht="15.75" customHeight="1" thickBot="1">
      <c r="A22" s="40"/>
      <c r="B22" s="35" t="s">
        <v>80</v>
      </c>
      <c r="C22" s="47"/>
      <c r="D22" s="74"/>
      <c r="E22" s="47"/>
      <c r="F22" s="47"/>
      <c r="G22" s="47"/>
      <c r="H22" s="47"/>
      <c r="I22" s="47"/>
      <c r="J22" s="9"/>
      <c r="K22" s="10"/>
      <c r="L22" s="10"/>
      <c r="M22" s="10"/>
      <c r="N22" s="10"/>
      <c r="O22" s="10">
        <v>140.07</v>
      </c>
      <c r="P22" s="10">
        <v>143.45</v>
      </c>
      <c r="Q22" s="10">
        <v>143.45</v>
      </c>
      <c r="R22" s="10">
        <v>143.45</v>
      </c>
      <c r="S22" s="10">
        <v>143.45</v>
      </c>
      <c r="T22" s="10">
        <v>143.45</v>
      </c>
      <c r="U22" s="18">
        <v>143.45</v>
      </c>
      <c r="V22" s="61">
        <f>SUM(J22:U22)</f>
        <v>1000.77</v>
      </c>
      <c r="W22" s="85">
        <f>SUM(C22:U22)</f>
        <v>1000.77</v>
      </c>
    </row>
    <row r="23" spans="1:23" ht="12" customHeight="1" thickBot="1">
      <c r="A23" s="40" t="s">
        <v>40</v>
      </c>
      <c r="B23" s="35" t="s">
        <v>7</v>
      </c>
      <c r="C23" s="47">
        <v>932.9</v>
      </c>
      <c r="D23" s="74">
        <v>735.63</v>
      </c>
      <c r="E23" s="47">
        <v>747.96</v>
      </c>
      <c r="F23" s="47">
        <v>697.07</v>
      </c>
      <c r="G23" s="47">
        <v>748.34</v>
      </c>
      <c r="H23" s="47">
        <v>760.64</v>
      </c>
      <c r="I23" s="47">
        <v>592.69</v>
      </c>
      <c r="J23" s="9">
        <v>174.39</v>
      </c>
      <c r="K23" s="10"/>
      <c r="L23" s="10"/>
      <c r="M23" s="10">
        <v>151.16</v>
      </c>
      <c r="N23" s="10"/>
      <c r="O23" s="10">
        <v>174.39</v>
      </c>
      <c r="P23" s="10"/>
      <c r="Q23" s="10"/>
      <c r="R23" s="10">
        <v>268.29</v>
      </c>
      <c r="S23" s="10"/>
      <c r="T23" s="10"/>
      <c r="U23" s="18">
        <v>212.79</v>
      </c>
      <c r="V23" s="61">
        <f t="shared" si="4"/>
        <v>981.02</v>
      </c>
      <c r="W23" s="85">
        <f t="shared" si="5"/>
        <v>6196.25</v>
      </c>
    </row>
    <row r="24" spans="1:23" ht="20.25" customHeight="1" thickBot="1">
      <c r="A24" s="40" t="s">
        <v>41</v>
      </c>
      <c r="B24" s="35" t="s">
        <v>81</v>
      </c>
      <c r="C24" s="47">
        <v>3772.3</v>
      </c>
      <c r="D24" s="74">
        <v>13433.38</v>
      </c>
      <c r="E24" s="47">
        <v>16995.58</v>
      </c>
      <c r="F24" s="47">
        <v>16017.62</v>
      </c>
      <c r="G24" s="47">
        <v>11264.24</v>
      </c>
      <c r="H24" s="47">
        <v>13279.72</v>
      </c>
      <c r="I24" s="47">
        <v>14040.76</v>
      </c>
      <c r="J24" s="9">
        <v>1188.56</v>
      </c>
      <c r="K24" s="10">
        <v>1111.34</v>
      </c>
      <c r="L24" s="10">
        <v>1381.57</v>
      </c>
      <c r="M24" s="10">
        <v>1026.18</v>
      </c>
      <c r="N24" s="10">
        <v>1092.34</v>
      </c>
      <c r="O24" s="10">
        <v>1228.41</v>
      </c>
      <c r="P24" s="10">
        <v>995.59</v>
      </c>
      <c r="Q24" s="10">
        <v>1151.58</v>
      </c>
      <c r="R24" s="10">
        <v>1083.18</v>
      </c>
      <c r="S24" s="10">
        <v>1381.98</v>
      </c>
      <c r="T24" s="10">
        <v>1430.22</v>
      </c>
      <c r="U24" s="18">
        <v>1181.87</v>
      </c>
      <c r="V24" s="61">
        <f t="shared" si="4"/>
        <v>14252.82</v>
      </c>
      <c r="W24" s="85">
        <f t="shared" si="5"/>
        <v>103056.41999999997</v>
      </c>
    </row>
    <row r="25" spans="1:23" ht="21.75" customHeight="1" thickBot="1">
      <c r="A25" s="40" t="s">
        <v>42</v>
      </c>
      <c r="B25" s="35" t="s">
        <v>69</v>
      </c>
      <c r="C25" s="47">
        <v>6202.8</v>
      </c>
      <c r="D25" s="74">
        <v>7314.79</v>
      </c>
      <c r="E25" s="47">
        <v>2194.33</v>
      </c>
      <c r="F25" s="47">
        <v>1558.24</v>
      </c>
      <c r="G25" s="47">
        <v>3388.5</v>
      </c>
      <c r="H25" s="47">
        <v>2288.7</v>
      </c>
      <c r="I25" s="47">
        <v>1997.44</v>
      </c>
      <c r="J25" s="9">
        <f>261.19</f>
        <v>261.19</v>
      </c>
      <c r="K25" s="10">
        <v>80.37</v>
      </c>
      <c r="L25" s="10">
        <v>86.26</v>
      </c>
      <c r="M25" s="10">
        <v>79.73</v>
      </c>
      <c r="N25" s="10">
        <v>77.33</v>
      </c>
      <c r="O25" s="10">
        <v>120.25</v>
      </c>
      <c r="P25" s="10">
        <v>112.96</v>
      </c>
      <c r="Q25" s="10">
        <v>347.79</v>
      </c>
      <c r="R25" s="10">
        <v>81.18</v>
      </c>
      <c r="S25" s="10">
        <v>120.03</v>
      </c>
      <c r="T25" s="10">
        <v>81.2</v>
      </c>
      <c r="U25" s="18">
        <v>110.7</v>
      </c>
      <c r="V25" s="61">
        <f t="shared" si="4"/>
        <v>1558.9900000000002</v>
      </c>
      <c r="W25" s="85">
        <f t="shared" si="5"/>
        <v>26503.789999999997</v>
      </c>
    </row>
    <row r="26" spans="1:23" ht="32.25" customHeight="1" thickBot="1">
      <c r="A26" s="40" t="s">
        <v>43</v>
      </c>
      <c r="B26" s="35" t="s">
        <v>70</v>
      </c>
      <c r="C26" s="47">
        <v>4437.9</v>
      </c>
      <c r="D26" s="74">
        <v>11832.29</v>
      </c>
      <c r="E26" s="47">
        <v>11405.34</v>
      </c>
      <c r="F26" s="47">
        <v>15285.6</v>
      </c>
      <c r="G26" s="47">
        <v>13139.38</v>
      </c>
      <c r="H26" s="47">
        <v>17072.42</v>
      </c>
      <c r="I26" s="47">
        <v>14610.62</v>
      </c>
      <c r="J26" s="9">
        <f>52.39+264.9+597.3</f>
        <v>914.5899999999999</v>
      </c>
      <c r="K26" s="10">
        <f>52.16+432.37+366.26</f>
        <v>850.79</v>
      </c>
      <c r="L26" s="10">
        <f>51.37+480.57+643.28</f>
        <v>1175.2199999999998</v>
      </c>
      <c r="M26" s="10">
        <f>48.47+440.22+618.82</f>
        <v>1107.5100000000002</v>
      </c>
      <c r="N26" s="10">
        <f>49.76+533.6+1513.14</f>
        <v>2096.5</v>
      </c>
      <c r="O26" s="10">
        <f>735.19+58.39+436.97</f>
        <v>1230.5500000000002</v>
      </c>
      <c r="P26" s="10">
        <f>63.3+384.57+686.57</f>
        <v>1134.44</v>
      </c>
      <c r="Q26" s="10">
        <f>69.26+354.85+818.32</f>
        <v>1242.43</v>
      </c>
      <c r="R26" s="10">
        <f>702.55+55.69+450.03</f>
        <v>1208.27</v>
      </c>
      <c r="S26" s="10">
        <f>71.52+508.59+741.92</f>
        <v>1322.03</v>
      </c>
      <c r="T26" s="10">
        <f>65.68+592.95+1171.72</f>
        <v>1830.3500000000001</v>
      </c>
      <c r="U26" s="18">
        <f>67.67+597.45+497.13</f>
        <v>1162.25</v>
      </c>
      <c r="V26" s="61">
        <f t="shared" si="4"/>
        <v>15274.930000000002</v>
      </c>
      <c r="W26" s="85">
        <f t="shared" si="5"/>
        <v>103058.47999999998</v>
      </c>
    </row>
    <row r="27" spans="1:23" ht="15.75" customHeight="1" thickBot="1">
      <c r="A27" s="40" t="s">
        <v>60</v>
      </c>
      <c r="B27" s="35" t="s">
        <v>11</v>
      </c>
      <c r="C27" s="47">
        <v>58793.08</v>
      </c>
      <c r="D27" s="74">
        <v>113582.65</v>
      </c>
      <c r="E27" s="47">
        <v>143269.65</v>
      </c>
      <c r="F27" s="47">
        <v>150923.2</v>
      </c>
      <c r="G27" s="47">
        <v>154575.25</v>
      </c>
      <c r="H27" s="47">
        <v>170975.47</v>
      </c>
      <c r="I27" s="47">
        <v>165441.6</v>
      </c>
      <c r="J27" s="9">
        <f>25048.8-11047.92</f>
        <v>14000.88</v>
      </c>
      <c r="K27" s="10">
        <f>28646.38-15746.54</f>
        <v>12899.84</v>
      </c>
      <c r="L27" s="10">
        <f>29506.43-16176.26</f>
        <v>13330.17</v>
      </c>
      <c r="M27" s="10">
        <f>25734.76-12304.14</f>
        <v>13430.619999999999</v>
      </c>
      <c r="N27" s="10">
        <f>8268.75+1684.37+2981.58+597.03</f>
        <v>13531.73</v>
      </c>
      <c r="O27" s="10">
        <f>27040.22-13433.49</f>
        <v>13606.730000000001</v>
      </c>
      <c r="P27" s="10">
        <f>27301.02-12153.78</f>
        <v>15147.24</v>
      </c>
      <c r="Q27" s="10">
        <f>27375.02-13529.2</f>
        <v>13845.82</v>
      </c>
      <c r="R27" s="10">
        <f>26978.96-13248.13</f>
        <v>13730.83</v>
      </c>
      <c r="S27" s="10">
        <f>29162.39-15183.76</f>
        <v>13978.63</v>
      </c>
      <c r="T27" s="10">
        <f>28715.43-14947.36</f>
        <v>13768.07</v>
      </c>
      <c r="U27" s="18">
        <f>32347.09-18563.82</f>
        <v>13783.27</v>
      </c>
      <c r="V27" s="61">
        <f t="shared" si="4"/>
        <v>165053.83</v>
      </c>
      <c r="W27" s="85">
        <f t="shared" si="5"/>
        <v>1122614.7300000002</v>
      </c>
    </row>
    <row r="28" spans="1:23" ht="13.5" customHeight="1" thickBot="1">
      <c r="A28" s="40" t="s">
        <v>61</v>
      </c>
      <c r="B28" s="36" t="s">
        <v>4</v>
      </c>
      <c r="C28" s="48">
        <v>7631.5</v>
      </c>
      <c r="D28" s="75">
        <v>19444.09</v>
      </c>
      <c r="E28" s="48">
        <v>12630.62</v>
      </c>
      <c r="F28" s="48">
        <v>12189.8</v>
      </c>
      <c r="G28" s="48">
        <v>12126.61</v>
      </c>
      <c r="H28" s="48">
        <v>11480.24</v>
      </c>
      <c r="I28" s="48">
        <v>11449.1</v>
      </c>
      <c r="J28" s="11">
        <v>927.33</v>
      </c>
      <c r="K28" s="12">
        <f>94.63+939.39</f>
        <v>1034.02</v>
      </c>
      <c r="L28" s="12">
        <f>89.48+937.79</f>
        <v>1027.27</v>
      </c>
      <c r="M28" s="12">
        <f>90.54+921.38</f>
        <v>1011.92</v>
      </c>
      <c r="N28" s="12">
        <f>102.22+1000.34</f>
        <v>1102.56</v>
      </c>
      <c r="O28" s="12">
        <f>90.18+879.08</f>
        <v>969.26</v>
      </c>
      <c r="P28" s="12">
        <f>114.51+987.95</f>
        <v>1102.46</v>
      </c>
      <c r="Q28" s="12">
        <f>37.57+113.04+905.18</f>
        <v>1055.79</v>
      </c>
      <c r="R28" s="12">
        <f>122.89+918.24</f>
        <v>1041.13</v>
      </c>
      <c r="S28" s="12">
        <f>108.96+872.56</f>
        <v>981.52</v>
      </c>
      <c r="T28" s="12">
        <f>118.3+947.2</f>
        <v>1065.5</v>
      </c>
      <c r="U28" s="20">
        <f>114.6+918.87</f>
        <v>1033.47</v>
      </c>
      <c r="V28" s="61">
        <f t="shared" si="4"/>
        <v>12352.230000000001</v>
      </c>
      <c r="W28" s="85">
        <f t="shared" si="5"/>
        <v>99304.19000000002</v>
      </c>
    </row>
    <row r="29" spans="1:23" ht="13.5" customHeight="1" thickBot="1">
      <c r="A29" s="40"/>
      <c r="B29" s="43" t="s">
        <v>66</v>
      </c>
      <c r="C29" s="77"/>
      <c r="D29" s="78"/>
      <c r="E29" s="77"/>
      <c r="F29" s="77"/>
      <c r="G29" s="81">
        <f>G8*5%</f>
        <v>15259.120000000003</v>
      </c>
      <c r="H29" s="81">
        <f>H8*5%</f>
        <v>15362.68</v>
      </c>
      <c r="I29" s="81">
        <f>I8*5%</f>
        <v>15250.564000000002</v>
      </c>
      <c r="J29" s="79">
        <f>J8*5%</f>
        <v>1270.612</v>
      </c>
      <c r="K29" s="79">
        <f aca="true" t="shared" si="6" ref="K29:U29">K8*5%</f>
        <v>1270.612</v>
      </c>
      <c r="L29" s="79">
        <f t="shared" si="6"/>
        <v>1270.612</v>
      </c>
      <c r="M29" s="79">
        <f t="shared" si="6"/>
        <v>1269.8760000000002</v>
      </c>
      <c r="N29" s="79">
        <f t="shared" si="6"/>
        <v>1269.2780000000002</v>
      </c>
      <c r="O29" s="79">
        <f t="shared" si="6"/>
        <v>1269.2780000000002</v>
      </c>
      <c r="P29" s="79">
        <f t="shared" si="6"/>
        <v>1269.2780000000002</v>
      </c>
      <c r="Q29" s="79">
        <f t="shared" si="6"/>
        <v>1269.2780000000002</v>
      </c>
      <c r="R29" s="79">
        <f t="shared" si="6"/>
        <v>1269.2780000000002</v>
      </c>
      <c r="S29" s="79">
        <f t="shared" si="6"/>
        <v>1269.2780000000002</v>
      </c>
      <c r="T29" s="79">
        <f t="shared" si="6"/>
        <v>1269.922</v>
      </c>
      <c r="U29" s="79">
        <f t="shared" si="6"/>
        <v>1269.922</v>
      </c>
      <c r="V29" s="81">
        <f t="shared" si="4"/>
        <v>15237.224000000004</v>
      </c>
      <c r="W29" s="86"/>
    </row>
    <row r="30" spans="1:23" ht="14.25" customHeight="1" thickBot="1">
      <c r="A30" s="40" t="s">
        <v>44</v>
      </c>
      <c r="B30" s="65" t="s">
        <v>56</v>
      </c>
      <c r="C30" s="66"/>
      <c r="D30" s="76"/>
      <c r="E30" s="66"/>
      <c r="F30" s="66"/>
      <c r="G30" s="66"/>
      <c r="H30" s="66"/>
      <c r="I30" s="66"/>
      <c r="J30" s="80">
        <f>SUM(J8+J9-J12)-J29</f>
        <v>1654.757999999999</v>
      </c>
      <c r="K30" s="80">
        <f aca="true" t="shared" si="7" ref="K30:U30">SUM(K8+K9-K12)-K29</f>
        <v>2800.268000000001</v>
      </c>
      <c r="L30" s="80">
        <f t="shared" si="7"/>
        <v>-2532.8719999999985</v>
      </c>
      <c r="M30" s="80">
        <f t="shared" si="7"/>
        <v>1210.5440000000017</v>
      </c>
      <c r="N30" s="80">
        <f t="shared" si="7"/>
        <v>-357.2880000000023</v>
      </c>
      <c r="O30" s="80">
        <f t="shared" si="7"/>
        <v>111.61200000000281</v>
      </c>
      <c r="P30" s="80">
        <f t="shared" si="7"/>
        <v>-14.14799999999559</v>
      </c>
      <c r="Q30" s="80">
        <f t="shared" si="7"/>
        <v>-88.14800000000287</v>
      </c>
      <c r="R30" s="80">
        <f t="shared" si="7"/>
        <v>307.91199999999844</v>
      </c>
      <c r="S30" s="80">
        <f t="shared" si="7"/>
        <v>-1875.5180000000018</v>
      </c>
      <c r="T30" s="80">
        <f t="shared" si="7"/>
        <v>-1416.3920000000012</v>
      </c>
      <c r="U30" s="80">
        <f t="shared" si="7"/>
        <v>-5048.052000000009</v>
      </c>
      <c r="V30" s="81">
        <f t="shared" si="4"/>
        <v>-5247.324000000008</v>
      </c>
      <c r="W30" s="86"/>
    </row>
    <row r="31" spans="1:23" ht="23.25" customHeight="1" thickBot="1">
      <c r="A31" s="40" t="s">
        <v>45</v>
      </c>
      <c r="B31" s="43" t="s">
        <v>25</v>
      </c>
      <c r="C31" s="43">
        <v>31783.49</v>
      </c>
      <c r="D31" s="19">
        <f>SUM(D8-D12)</f>
        <v>-25835.48000000004</v>
      </c>
      <c r="E31" s="61">
        <f>SUM(E8-E12)</f>
        <v>43560.22999999998</v>
      </c>
      <c r="F31" s="61">
        <f>SUM(F8-F12)</f>
        <v>14354.209999999963</v>
      </c>
      <c r="G31" s="81">
        <f>SUM(G8-G12)-G29</f>
        <v>10891.79000000003</v>
      </c>
      <c r="H31" s="81">
        <f>SUM(H8-H12)-H29</f>
        <v>-24573.299999999996</v>
      </c>
      <c r="I31" s="81">
        <f>SUM(I8-I12)-I29</f>
        <v>-12237.413999999979</v>
      </c>
      <c r="J31" s="92">
        <f>SUM(J8+J9-J12)-J29</f>
        <v>1654.757999999999</v>
      </c>
      <c r="K31" s="82">
        <f>SUM(K30+J31)</f>
        <v>4455.026</v>
      </c>
      <c r="L31" s="82">
        <f aca="true" t="shared" si="8" ref="L31:U31">SUM(L30+K31)</f>
        <v>1922.1540000000014</v>
      </c>
      <c r="M31" s="82">
        <f t="shared" si="8"/>
        <v>3132.698000000003</v>
      </c>
      <c r="N31" s="82">
        <f t="shared" si="8"/>
        <v>2775.4100000000008</v>
      </c>
      <c r="O31" s="82">
        <f t="shared" si="8"/>
        <v>2887.0220000000036</v>
      </c>
      <c r="P31" s="82">
        <f t="shared" si="8"/>
        <v>2872.874000000008</v>
      </c>
      <c r="Q31" s="82">
        <f t="shared" si="8"/>
        <v>2784.726000000005</v>
      </c>
      <c r="R31" s="82">
        <f t="shared" si="8"/>
        <v>3092.6380000000036</v>
      </c>
      <c r="S31" s="82">
        <f t="shared" si="8"/>
        <v>1217.1200000000017</v>
      </c>
      <c r="T31" s="82">
        <f t="shared" si="8"/>
        <v>-199.27199999999948</v>
      </c>
      <c r="U31" s="82">
        <f t="shared" si="8"/>
        <v>-5247.324000000008</v>
      </c>
      <c r="V31" s="61"/>
      <c r="W31" s="53"/>
    </row>
    <row r="32" spans="1:23" ht="21" customHeight="1" hidden="1" thickBot="1">
      <c r="A32" s="40" t="s">
        <v>46</v>
      </c>
      <c r="B32" s="49" t="s">
        <v>26</v>
      </c>
      <c r="C32" s="43">
        <v>31783.49</v>
      </c>
      <c r="D32" s="19">
        <f>SUM(D8-D12,C32)</f>
        <v>5948.009999999962</v>
      </c>
      <c r="E32" s="61">
        <f>SUM(E8-E12,D32)</f>
        <v>49508.23999999995</v>
      </c>
      <c r="F32" s="61">
        <f>SUM(F8-F12,E32)</f>
        <v>63862.44999999991</v>
      </c>
      <c r="G32" s="83">
        <f>SUM(G31+F32)</f>
        <v>74754.23999999993</v>
      </c>
      <c r="H32" s="83">
        <f>SUM(H31+G32)</f>
        <v>50180.93999999994</v>
      </c>
      <c r="I32" s="83">
        <f>SUM(I31+H32)</f>
        <v>37943.525999999954</v>
      </c>
      <c r="J32" s="83">
        <f>SUM(J31+I32)</f>
        <v>39598.283999999956</v>
      </c>
      <c r="K32" s="82">
        <f>SUM(K30+J32)</f>
        <v>42398.55199999996</v>
      </c>
      <c r="L32" s="82">
        <f aca="true" t="shared" si="9" ref="L32:T32">SUM(L30+K32)</f>
        <v>39865.679999999964</v>
      </c>
      <c r="M32" s="82">
        <f t="shared" si="9"/>
        <v>41076.223999999966</v>
      </c>
      <c r="N32" s="82">
        <f t="shared" si="9"/>
        <v>40718.935999999965</v>
      </c>
      <c r="O32" s="82">
        <f t="shared" si="9"/>
        <v>40830.547999999966</v>
      </c>
      <c r="P32" s="82">
        <f t="shared" si="9"/>
        <v>40816.39999999997</v>
      </c>
      <c r="Q32" s="82">
        <f t="shared" si="9"/>
        <v>40728.25199999997</v>
      </c>
      <c r="R32" s="82">
        <f t="shared" si="9"/>
        <v>41036.16399999997</v>
      </c>
      <c r="S32" s="82">
        <f t="shared" si="9"/>
        <v>39160.645999999964</v>
      </c>
      <c r="T32" s="82">
        <f t="shared" si="9"/>
        <v>37744.253999999964</v>
      </c>
      <c r="U32" s="82">
        <f>SUM(U30+T32)</f>
        <v>32696.201999999954</v>
      </c>
      <c r="V32" s="61"/>
      <c r="W32" s="54"/>
    </row>
    <row r="33" spans="1:23" ht="9" customHeight="1" hidden="1" thickBot="1">
      <c r="A33" s="40" t="s">
        <v>47</v>
      </c>
      <c r="B33" s="49" t="s">
        <v>9</v>
      </c>
      <c r="C33" s="44"/>
      <c r="D33" s="44"/>
      <c r="E33" s="69"/>
      <c r="F33" s="69"/>
      <c r="G33" s="69"/>
      <c r="H33" s="69"/>
      <c r="I33" s="69"/>
      <c r="J33" s="1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1"/>
      <c r="V33" s="61"/>
      <c r="W33" s="55"/>
    </row>
    <row r="34" spans="1:23" ht="15" customHeight="1" hidden="1" thickBot="1">
      <c r="A34" s="41" t="s">
        <v>48</v>
      </c>
      <c r="B34" s="37" t="s">
        <v>27</v>
      </c>
      <c r="C34" s="44"/>
      <c r="D34" s="44"/>
      <c r="E34" s="69"/>
      <c r="F34" s="69"/>
      <c r="G34" s="69"/>
      <c r="H34" s="69"/>
      <c r="I34" s="69"/>
      <c r="J34" s="1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1"/>
      <c r="V34" s="62"/>
      <c r="W34" s="56"/>
    </row>
    <row r="35" spans="1:23" ht="24" customHeight="1" hidden="1" thickBot="1">
      <c r="A35" s="41" t="s">
        <v>50</v>
      </c>
      <c r="B35" s="38" t="s">
        <v>51</v>
      </c>
      <c r="C35" s="45"/>
      <c r="D35" s="45"/>
      <c r="E35" s="70"/>
      <c r="F35" s="70"/>
      <c r="G35" s="70"/>
      <c r="H35" s="70"/>
      <c r="I35" s="70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>
        <f>SUM(U31-U33)</f>
        <v>-5247.324000000008</v>
      </c>
      <c r="V35" s="63"/>
      <c r="W35" s="57"/>
    </row>
    <row r="36" spans="1:23" ht="24" customHeight="1" hidden="1" thickBot="1">
      <c r="A36" s="50" t="s">
        <v>54</v>
      </c>
      <c r="B36" s="38" t="s">
        <v>28</v>
      </c>
      <c r="C36" s="45"/>
      <c r="D36" s="45"/>
      <c r="E36" s="70"/>
      <c r="F36" s="70"/>
      <c r="G36" s="70"/>
      <c r="H36" s="70"/>
      <c r="I36" s="70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7">
        <f>SUM(U32-U33)</f>
        <v>32696.201999999954</v>
      </c>
      <c r="V36" s="63"/>
      <c r="W36" s="57"/>
    </row>
    <row r="37" spans="3:23" ht="0.75" customHeight="1" hidden="1">
      <c r="C37" s="23"/>
      <c r="D37" s="23"/>
      <c r="E37" s="23"/>
      <c r="F37" s="23"/>
      <c r="G37" s="23"/>
      <c r="H37" s="23"/>
      <c r="I37" s="2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5"/>
    </row>
    <row r="38" ht="16.5" customHeight="1">
      <c r="B38" t="s">
        <v>57</v>
      </c>
    </row>
    <row r="39" ht="0.75" customHeight="1"/>
    <row r="40" ht="12.75" hidden="1"/>
    <row r="41" ht="12.75" hidden="1"/>
    <row r="46" ht="12.75" customHeight="1"/>
    <row r="47" ht="12.75" customHeight="1"/>
  </sheetData>
  <sheetProtection/>
  <mergeCells count="5">
    <mergeCell ref="B4:W4"/>
    <mergeCell ref="B5:W5"/>
    <mergeCell ref="B3:W3"/>
    <mergeCell ref="B1:L1"/>
    <mergeCell ref="B2:S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2018-02-07T13:11:27Z</cp:lastPrinted>
  <dcterms:created xsi:type="dcterms:W3CDTF">2011-06-16T11:06:26Z</dcterms:created>
  <dcterms:modified xsi:type="dcterms:W3CDTF">2018-02-12T08:13:07Z</dcterms:modified>
  <cp:category/>
  <cp:version/>
  <cp:contentType/>
  <cp:contentStatus/>
</cp:coreProperties>
</file>