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<sst xmlns="http://schemas.openxmlformats.org/spreadsheetml/2006/main" count="74" uniqueCount="74">
  <si>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</si>
  <si>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</si>
  <si>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</si>
  <si>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</si>
  <si>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</si>
  <si>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</si>
  <si>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</si>
  <si>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</si>
  <si>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</si>
  <si>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</si>
  <si>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</si>
  <si>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</si>
  <si>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</si>
  <si>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</si>
  <si>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</si>
  <si>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</si>
  <si>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</si>
  <si>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</si>
  <si>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</si>
  <si>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</si>
  <si>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</si>
  <si>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</si>
  <si>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</si>
  <si>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</si>
  <si>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</si>
  <si>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</si>
  <si>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№</t>
  </si>
  <si>
    <t>1</t>
  </si>
  <si>
    <t>2</t>
  </si>
  <si>
    <t>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</si>
  <si>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</si>
  <si>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</si>
  <si>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</si>
  <si>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</si>
  <si>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</si>
  <si>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</si>
  <si>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</si>
  <si>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</si>
  <si>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</si>
  <si>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</si>
  <si>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</si>
  <si>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</si>
  <si>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</si>
  <si>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</si>
  <si>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</si>
  <si>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за 2010 г</t>
  </si>
  <si>
    <t>по жилому дому г. Унеча ул. Октябрьская д.8</t>
  </si>
  <si>
    <t>Благоустройство  территории</t>
  </si>
  <si>
    <t>Итого за 2011 г</t>
  </si>
  <si>
    <t>Проверка дымовых каналов</t>
  </si>
  <si>
    <t>Результат за месяц</t>
  </si>
  <si>
    <t>Дом по ул.Октябрьская  д.8 вступил в ООО "Наш дом" с февраля 2010 года               тариф 9,2 руб</t>
  </si>
  <si>
    <t>Исполнитель /Викторова Л.С./</t>
  </si>
  <si>
    <t>Итого за 2012 г</t>
  </si>
  <si>
    <t>4.12</t>
  </si>
  <si>
    <t>4.13</t>
  </si>
  <si>
    <t xml:space="preserve">%  оплаты </t>
  </si>
  <si>
    <t>Итого за 2013 г</t>
  </si>
  <si>
    <t xml:space="preserve">Материалы </t>
  </si>
  <si>
    <t>Итого за 2014 г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</si>
  <si>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</si>
  <si>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</si>
  <si>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</si>
  <si>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</si>
  <si>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</si>
  <si>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Итого за 2016 г</t>
  </si>
  <si>
    <t>Итого за 2017 г</t>
  </si>
  <si>
    <t>Всего за 2010-2017</t>
  </si>
  <si>
    <t>Начислено  СОИД</t>
  </si>
  <si>
    <t>Начислено  нежилые</t>
  </si>
  <si>
    <t>Электроэнергия СОИД</t>
  </si>
  <si>
    <t>Холодная вода СОИД</t>
  </si>
  <si>
    <t>канализация СОИД</t>
  </si>
  <si>
    <t>Транспортные(ГСМ,зап.части,амортизация,страхован)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</si>
</sst>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0" fontId="24" fillId="0" borderId="27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1" fillId="0" borderId="27" xfId="0" applyFont="1" applyBorder="1" applyAlignment="1">
      <alignment wrapText="1"/>
    </xf>
    <xf numFmtId="49" fontId="0" fillId="0" borderId="36" xfId="0" applyNumberFormat="1" applyBorder="1" applyAlignment="1">
      <alignment horizontal="center"/>
    </xf>
    <xf numFmtId="1" fontId="21" fillId="0" borderId="38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6" xfId="0" applyFont="1" applyFill="1" applyBorder="1" applyAlignment="1">
      <alignment/>
    </xf>
    <xf numFmtId="1" fontId="20" fillId="0" borderId="41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21" fillId="0" borderId="39" xfId="0" applyFont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0" fontId="26" fillId="0" borderId="32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20" fillId="0" borderId="32" xfId="0" applyFont="1" applyBorder="1" applyAlignment="1">
      <alignment/>
    </xf>
    <xf numFmtId="0" fontId="20" fillId="0" borderId="37" xfId="0" applyFont="1" applyBorder="1" applyAlignment="1">
      <alignment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6" fillId="0" borderId="42" xfId="0" applyFont="1" applyBorder="1" applyAlignment="1">
      <alignment wrapText="1"/>
    </xf>
    <xf numFmtId="0" fontId="26" fillId="0" borderId="43" xfId="0" applyFont="1" applyBorder="1" applyAlignment="1">
      <alignment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0" fontId="26" fillId="0" borderId="40" xfId="0" applyFont="1" applyBorder="1" applyAlignment="1">
      <alignment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0" fontId="26" fillId="0" borderId="37" xfId="0" applyFont="1" applyBorder="1" applyAlignment="1">
      <alignment wrapText="1"/>
    </xf>
    <xf numFmtId="2" fontId="27" fillId="0" borderId="35" xfId="0" applyNumberFormat="1" applyFont="1" applyBorder="1" applyAlignment="1">
      <alignment/>
    </xf>
    <xf numFmtId="2" fontId="27" fillId="0" borderId="49" xfId="0" applyNumberFormat="1" applyFont="1" applyBorder="1" applyAlignment="1">
      <alignment/>
    </xf>
    <xf numFmtId="0" fontId="28" fillId="0" borderId="49" xfId="0" applyFont="1" applyBorder="1" applyAlignment="1">
      <alignment/>
    </xf>
    <xf numFmtId="0" fontId="21" fillId="0" borderId="37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2" fontId="21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B1">
      <selection activeCell="L19" sqref="L19"/>
    </sheetView>
  </sheetViews>
  <sheetFormatPr defaultColWidth="9.00390625" defaultRowHeight="12.75"/>
  <cols>
    <col min="1" max="1" width="3.625" style="27" hidden="1" customWidth="1"/>
    <col min="2" max="2" width="21.875" style="0" customWidth="1"/>
    <col min="3" max="3" width="7.25390625" style="0" hidden="1" customWidth="1"/>
    <col min="4" max="4" width="8.25390625" style="0" hidden="1" customWidth="1"/>
    <col min="5" max="5" width="9.375" style="0" hidden="1" customWidth="1"/>
    <col min="6" max="6" width="8.875" style="0" hidden="1" customWidth="1"/>
    <col min="7" max="9" width="10.00390625" style="0" hidden="1" customWidth="1"/>
    <col min="10" max="10" width="8.375" style="0" customWidth="1"/>
    <col min="11" max="12" width="8.75390625" style="0" customWidth="1"/>
    <col min="13" max="13" width="8.00390625" style="0" customWidth="1"/>
    <col min="14" max="14" width="8.125" style="0" customWidth="1"/>
    <col min="15" max="15" width="9.00390625" style="0" customWidth="1"/>
    <col min="16" max="17" width="8.625" style="0" customWidth="1"/>
    <col min="18" max="18" width="8.375" style="0" customWidth="1"/>
    <col min="19" max="19" width="9.25390625" style="0" customWidth="1"/>
    <col min="20" max="20" width="8.375" style="0" customWidth="1"/>
    <col min="21" max="21" width="8.75390625" style="0" customWidth="1"/>
    <col min="22" max="22" width="11.75390625" style="0" customWidth="1"/>
    <col min="23" max="23" width="10.25390625" style="0" hidden="1" customWidth="1"/>
  </cols>
  <sheetData>
    <row r="1" spans="2:28" ht="12.75" customHeight="1">
      <c r="B1" s="92" t="s">
        <v>9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 customHeight="1">
      <c r="B2" s="92" t="s">
        <v>51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4"/>
      <c r="U2" s="4"/>
      <c r="V2" s="4"/>
      <c r="W2" s="4"/>
      <c r="X2" s="4"/>
      <c r="Y2" s="4"/>
      <c r="Z2" s="4"/>
      <c r="AA2" s="4"/>
      <c r="AB2" s="4"/>
    </row>
    <row r="3" spans="2:28" ht="12.75" customHeight="1"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3"/>
      <c r="Y3" s="3"/>
      <c r="Z3" s="3"/>
      <c r="AA3" s="3"/>
      <c r="AB3" s="3"/>
    </row>
    <row r="4" spans="2:28" ht="12.75" customHeight="1">
      <c r="B4" s="90" t="s">
        <v>11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2"/>
      <c r="Y4" s="2"/>
      <c r="Z4" s="2"/>
      <c r="AA4" s="2"/>
      <c r="AB4" s="2"/>
    </row>
    <row r="5" spans="2:28" ht="16.5" customHeight="1" thickBot="1">
      <c r="B5" s="90" t="s">
        <v>46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2"/>
      <c r="Y5" s="2"/>
      <c r="Z5" s="2"/>
      <c r="AA5" s="2"/>
      <c r="AB5" s="2"/>
    </row>
    <row r="6" spans="2:28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</row>
    <row r="7" spans="1:28" ht="27.75" customHeight="1" thickBot="1">
      <c r="A7" s="38" t="s">
        <v>26</v>
      </c>
      <c r="B7" s="28" t="s">
        <v>8</v>
      </c>
      <c r="C7" s="41" t="s">
        <v>45</v>
      </c>
      <c r="D7" s="56" t="s">
        <v>48</v>
      </c>
      <c r="E7" s="56" t="s">
        <v>53</v>
      </c>
      <c r="F7" s="56" t="s">
        <v>57</v>
      </c>
      <c r="G7" s="56" t="s">
        <v>59</v>
      </c>
      <c r="H7" s="56" t="s">
        <v>61</v>
      </c>
      <c r="I7" s="56" t="s">
        <v>65</v>
      </c>
      <c r="J7" s="6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  <c r="R7" s="5" t="s">
        <v>20</v>
      </c>
      <c r="S7" s="5" t="s">
        <v>21</v>
      </c>
      <c r="T7" s="5" t="s">
        <v>23</v>
      </c>
      <c r="U7" s="16" t="s">
        <v>22</v>
      </c>
      <c r="V7" s="56" t="s">
        <v>66</v>
      </c>
      <c r="W7" s="51" t="s">
        <v>67</v>
      </c>
      <c r="X7" s="1"/>
      <c r="Y7" s="1"/>
      <c r="Z7" s="1"/>
      <c r="AA7" s="1"/>
      <c r="AB7" s="1"/>
    </row>
    <row r="8" spans="1:23" ht="13.5" thickBot="1">
      <c r="A8" s="39" t="s">
        <v>27</v>
      </c>
      <c r="B8" s="29" t="s">
        <v>1</v>
      </c>
      <c r="C8" s="65">
        <v>260902.8</v>
      </c>
      <c r="D8" s="71">
        <v>363177.77</v>
      </c>
      <c r="E8" s="65">
        <v>348442.64</v>
      </c>
      <c r="F8" s="77">
        <v>343646.68</v>
      </c>
      <c r="G8" s="85">
        <v>343601.6</v>
      </c>
      <c r="H8" s="85">
        <v>343593.32</v>
      </c>
      <c r="I8" s="65">
        <v>343670.6</v>
      </c>
      <c r="J8" s="7">
        <v>23735.08</v>
      </c>
      <c r="K8" s="8">
        <v>23735.08</v>
      </c>
      <c r="L8" s="8">
        <v>23735.08</v>
      </c>
      <c r="M8" s="8">
        <v>23740.6</v>
      </c>
      <c r="N8" s="8">
        <v>23740.6</v>
      </c>
      <c r="O8" s="8">
        <v>23740.6</v>
      </c>
      <c r="P8" s="8">
        <v>23740.6</v>
      </c>
      <c r="Q8" s="8">
        <v>23740.6</v>
      </c>
      <c r="R8" s="8">
        <v>23740.6</v>
      </c>
      <c r="S8" s="8">
        <v>23740.6</v>
      </c>
      <c r="T8" s="8">
        <v>23740.6</v>
      </c>
      <c r="U8" s="17">
        <v>23740.6</v>
      </c>
      <c r="V8" s="89">
        <f>SUM(J8:U8)</f>
        <v>284870.64</v>
      </c>
      <c r="W8" s="67">
        <f>SUM(C8:U8)</f>
        <v>2631906.050000001</v>
      </c>
    </row>
    <row r="9" spans="1:23" ht="13.5" thickBot="1">
      <c r="A9" s="39"/>
      <c r="B9" s="29" t="s">
        <v>68</v>
      </c>
      <c r="C9" s="85"/>
      <c r="D9" s="71"/>
      <c r="E9" s="85"/>
      <c r="F9" s="77"/>
      <c r="G9" s="85"/>
      <c r="H9" s="85"/>
      <c r="I9" s="85"/>
      <c r="J9" s="7">
        <f>1496.31+61.63</f>
        <v>1557.94</v>
      </c>
      <c r="K9" s="8">
        <f>912.01+61.63</f>
        <v>973.64</v>
      </c>
      <c r="L9" s="8">
        <f>1204.16+61.63</f>
        <v>1265.7900000000002</v>
      </c>
      <c r="M9" s="8">
        <f>1204.21+61.64</f>
        <v>1265.8500000000001</v>
      </c>
      <c r="N9" s="8">
        <f>1204.21+61.64</f>
        <v>1265.8500000000001</v>
      </c>
      <c r="O9" s="8">
        <f>1421.21+119.46+104.03</f>
        <v>1644.7</v>
      </c>
      <c r="P9" s="8">
        <f aca="true" t="shared" si="0" ref="P9:U9">1490.72+120.62+106.49</f>
        <v>1717.8300000000002</v>
      </c>
      <c r="Q9" s="8">
        <f t="shared" si="0"/>
        <v>1717.8300000000002</v>
      </c>
      <c r="R9" s="8">
        <f t="shared" si="0"/>
        <v>1717.8300000000002</v>
      </c>
      <c r="S9" s="8">
        <f t="shared" si="0"/>
        <v>1717.8300000000002</v>
      </c>
      <c r="T9" s="8">
        <f t="shared" si="0"/>
        <v>1717.8300000000002</v>
      </c>
      <c r="U9" s="17">
        <f t="shared" si="0"/>
        <v>1717.8300000000002</v>
      </c>
      <c r="V9" s="89">
        <f>SUM(J9:U9)</f>
        <v>18280.750000000004</v>
      </c>
      <c r="W9" s="67">
        <f>SUM(C9:U9)</f>
        <v>18280.750000000004</v>
      </c>
    </row>
    <row r="10" spans="1:23" ht="13.5" customHeight="1" thickBot="1">
      <c r="A10" s="39"/>
      <c r="B10" s="29" t="s">
        <v>69</v>
      </c>
      <c r="C10" s="85"/>
      <c r="D10" s="71"/>
      <c r="E10" s="85"/>
      <c r="F10" s="77"/>
      <c r="G10" s="85"/>
      <c r="H10" s="85"/>
      <c r="I10" s="85"/>
      <c r="J10" s="7">
        <v>4995.12</v>
      </c>
      <c r="K10" s="8">
        <v>5333.85</v>
      </c>
      <c r="L10" s="8">
        <v>5333.85</v>
      </c>
      <c r="M10" s="8">
        <v>5333.85</v>
      </c>
      <c r="N10" s="8">
        <v>5333.85</v>
      </c>
      <c r="O10" s="8">
        <v>6198.35</v>
      </c>
      <c r="P10" s="8">
        <v>6218.13</v>
      </c>
      <c r="Q10" s="8">
        <v>6218.13</v>
      </c>
      <c r="R10" s="8">
        <v>6218.13</v>
      </c>
      <c r="S10" s="8">
        <v>6218.13</v>
      </c>
      <c r="T10" s="8">
        <v>6218.13</v>
      </c>
      <c r="U10" s="17">
        <v>6218.13</v>
      </c>
      <c r="V10" s="89">
        <f>SUM(J10:U10)</f>
        <v>69837.65</v>
      </c>
      <c r="W10" s="67">
        <f>SUM(C10:U10)</f>
        <v>69837.65</v>
      </c>
    </row>
    <row r="11" spans="1:23" ht="12.75">
      <c r="A11" s="39" t="s">
        <v>28</v>
      </c>
      <c r="B11" s="30" t="s">
        <v>2</v>
      </c>
      <c r="C11" s="66">
        <v>220497.35</v>
      </c>
      <c r="D11" s="72">
        <v>362840.4</v>
      </c>
      <c r="E11" s="66">
        <v>345333</v>
      </c>
      <c r="F11" s="65">
        <v>333221.34</v>
      </c>
      <c r="G11" s="85">
        <v>337819.59</v>
      </c>
      <c r="H11" s="85">
        <v>330899.43</v>
      </c>
      <c r="I11" s="85">
        <v>351488.48</v>
      </c>
      <c r="J11" s="9">
        <v>25699.17</v>
      </c>
      <c r="K11" s="10">
        <v>25149.91</v>
      </c>
      <c r="L11" s="10">
        <v>37947.43</v>
      </c>
      <c r="M11" s="10">
        <v>29984.25</v>
      </c>
      <c r="N11" s="10">
        <v>31218.08</v>
      </c>
      <c r="O11" s="10">
        <v>27210.51</v>
      </c>
      <c r="P11" s="10">
        <v>30136.68</v>
      </c>
      <c r="Q11" s="10">
        <v>37083.89</v>
      </c>
      <c r="R11" s="10">
        <v>29644.66</v>
      </c>
      <c r="S11" s="10">
        <v>33562.49</v>
      </c>
      <c r="T11" s="10">
        <v>27602.31</v>
      </c>
      <c r="U11" s="18">
        <v>28629.57</v>
      </c>
      <c r="V11" s="89">
        <f>SUM(J11:U11)</f>
        <v>363868.95</v>
      </c>
      <c r="W11" s="68">
        <f>SUM(C11:U11)</f>
        <v>2645968.5400000005</v>
      </c>
    </row>
    <row r="12" spans="1:23" ht="15.75" customHeight="1" thickBot="1">
      <c r="A12" s="39" t="s">
        <v>29</v>
      </c>
      <c r="B12" s="31" t="s">
        <v>56</v>
      </c>
      <c r="C12" s="57">
        <f aca="true" t="shared" si="1" ref="C12:J12">SUM(C11/C8*100)</f>
        <v>84.51321718279759</v>
      </c>
      <c r="D12" s="50">
        <f t="shared" si="1"/>
        <v>99.90710609848175</v>
      </c>
      <c r="E12" s="57">
        <f t="shared" si="1"/>
        <v>99.10756042945835</v>
      </c>
      <c r="F12" s="57">
        <f t="shared" si="1"/>
        <v>96.96626197581773</v>
      </c>
      <c r="G12" s="57">
        <f t="shared" si="1"/>
        <v>98.31723426200578</v>
      </c>
      <c r="H12" s="57">
        <f>SUM(H11/H8*100)</f>
        <v>96.30554808225025</v>
      </c>
      <c r="I12" s="57">
        <f>SUM(I11/I8*100)</f>
        <v>102.27481780518903</v>
      </c>
      <c r="J12" s="22">
        <f t="shared" si="1"/>
        <v>108.27505110578939</v>
      </c>
      <c r="K12" s="22">
        <f aca="true" t="shared" si="2" ref="K12:U12">SUM(K11/K8*100)</f>
        <v>105.96092366235968</v>
      </c>
      <c r="L12" s="22">
        <f t="shared" si="2"/>
        <v>159.8790903590803</v>
      </c>
      <c r="M12" s="22">
        <f t="shared" si="2"/>
        <v>126.29946168167612</v>
      </c>
      <c r="N12" s="22">
        <f t="shared" si="2"/>
        <v>131.4965923354928</v>
      </c>
      <c r="O12" s="22">
        <f t="shared" si="2"/>
        <v>114.6159322005341</v>
      </c>
      <c r="P12" s="22">
        <f t="shared" si="2"/>
        <v>126.94152633042131</v>
      </c>
      <c r="Q12" s="22">
        <f t="shared" si="2"/>
        <v>156.20451884114135</v>
      </c>
      <c r="R12" s="22">
        <f t="shared" si="2"/>
        <v>124.86904290540257</v>
      </c>
      <c r="S12" s="22">
        <f t="shared" si="2"/>
        <v>141.37170079947433</v>
      </c>
      <c r="T12" s="22">
        <f t="shared" si="2"/>
        <v>116.26626959723008</v>
      </c>
      <c r="U12" s="50">
        <f t="shared" si="2"/>
        <v>120.59328744850595</v>
      </c>
      <c r="V12" s="61">
        <f>SUM(V11/V8*100)</f>
        <v>127.73129235080177</v>
      </c>
      <c r="W12" s="61">
        <f>SUM(W11/W8*100)</f>
        <v>100.53430820602426</v>
      </c>
    </row>
    <row r="13" spans="1:23" ht="13.5" thickBot="1">
      <c r="A13" s="39" t="s">
        <v>30</v>
      </c>
      <c r="B13" s="32" t="s">
        <v>3</v>
      </c>
      <c r="C13" s="59">
        <f aca="true" t="shared" si="3" ref="C13:J13">SUM(C14:C28)</f>
        <v>203997.57000000004</v>
      </c>
      <c r="D13" s="19">
        <f t="shared" si="3"/>
        <v>269814.91</v>
      </c>
      <c r="E13" s="59">
        <f t="shared" si="3"/>
        <v>272916.22</v>
      </c>
      <c r="F13" s="59">
        <f t="shared" si="3"/>
        <v>307881.42000000004</v>
      </c>
      <c r="G13" s="59">
        <f t="shared" si="3"/>
        <v>350064.66000000003</v>
      </c>
      <c r="H13" s="59">
        <f>SUM(H14:H28)</f>
        <v>305614.49</v>
      </c>
      <c r="I13" s="59">
        <f>SUM(I14:I28)</f>
        <v>311312.79</v>
      </c>
      <c r="J13" s="13">
        <f t="shared" si="3"/>
        <v>26635.06</v>
      </c>
      <c r="K13" s="13">
        <f aca="true" t="shared" si="4" ref="K13:U13">SUM(K14:K28)</f>
        <v>23319.33</v>
      </c>
      <c r="L13" s="13">
        <f t="shared" si="4"/>
        <v>26477.719999999998</v>
      </c>
      <c r="M13" s="13">
        <f t="shared" si="4"/>
        <v>24551.03</v>
      </c>
      <c r="N13" s="13">
        <f t="shared" si="4"/>
        <v>26026.5</v>
      </c>
      <c r="O13" s="13">
        <f t="shared" si="4"/>
        <v>39761.93</v>
      </c>
      <c r="P13" s="13">
        <f t="shared" si="4"/>
        <v>26866.6</v>
      </c>
      <c r="Q13" s="13">
        <f t="shared" si="4"/>
        <v>41488.979999999996</v>
      </c>
      <c r="R13" s="13">
        <f t="shared" si="4"/>
        <v>40816.43</v>
      </c>
      <c r="S13" s="13">
        <f t="shared" si="4"/>
        <v>52260.44</v>
      </c>
      <c r="T13" s="13">
        <f t="shared" si="4"/>
        <v>25905.060000000005</v>
      </c>
      <c r="U13" s="19">
        <f t="shared" si="4"/>
        <v>25674.65</v>
      </c>
      <c r="V13" s="59">
        <f>SUM(J13:U13)</f>
        <v>379783.73000000004</v>
      </c>
      <c r="W13" s="86">
        <f>SUM(C13:U13)</f>
        <v>2401385.7900000005</v>
      </c>
    </row>
    <row r="14" spans="1:23" ht="13.5" thickBot="1">
      <c r="A14" s="39" t="s">
        <v>31</v>
      </c>
      <c r="B14" s="33" t="s">
        <v>5</v>
      </c>
      <c r="C14" s="45">
        <v>45228.71</v>
      </c>
      <c r="D14" s="73">
        <v>57408.47</v>
      </c>
      <c r="E14" s="45">
        <v>60303.88</v>
      </c>
      <c r="F14" s="45">
        <v>66599.69</v>
      </c>
      <c r="G14" s="45">
        <v>69803.18</v>
      </c>
      <c r="H14" s="45">
        <v>59937.22</v>
      </c>
      <c r="I14" s="45">
        <v>61586.1</v>
      </c>
      <c r="J14" s="7">
        <f>4876+60.31</f>
        <v>4936.31</v>
      </c>
      <c r="K14" s="8">
        <f>4876+283.43</f>
        <v>5159.43</v>
      </c>
      <c r="L14" s="8">
        <f>4717+161.44</f>
        <v>4878.44</v>
      </c>
      <c r="M14" s="8">
        <f>4717+511.61</f>
        <v>5228.61</v>
      </c>
      <c r="N14" s="8">
        <f>4717+255.37</f>
        <v>4972.37</v>
      </c>
      <c r="O14" s="8">
        <f>4717+156.1</f>
        <v>4873.1</v>
      </c>
      <c r="P14" s="8">
        <f>4717+245.91</f>
        <v>4962.91</v>
      </c>
      <c r="Q14" s="8">
        <f>4717+285.93</f>
        <v>5002.93</v>
      </c>
      <c r="R14" s="8">
        <f>4770+298.81</f>
        <v>5068.81</v>
      </c>
      <c r="S14" s="8">
        <f>4770+310.63</f>
        <v>5080.63</v>
      </c>
      <c r="T14" s="8">
        <f>4770+271.47</f>
        <v>5041.47</v>
      </c>
      <c r="U14" s="17">
        <f>4770+271.97</f>
        <v>5041.97</v>
      </c>
      <c r="V14" s="59">
        <f aca="true" t="shared" si="5" ref="V14:V30">SUM(J14:U14)</f>
        <v>60246.979999999996</v>
      </c>
      <c r="W14" s="86">
        <f aca="true" t="shared" si="6" ref="W14:W28">SUM(C14:U14)</f>
        <v>481114.22999999986</v>
      </c>
    </row>
    <row r="15" spans="1:23" ht="14.25" customHeight="1" thickBot="1">
      <c r="A15" s="39" t="s">
        <v>32</v>
      </c>
      <c r="B15" s="34" t="s">
        <v>62</v>
      </c>
      <c r="C15" s="46">
        <v>57983.3</v>
      </c>
      <c r="D15" s="74">
        <v>24592.21</v>
      </c>
      <c r="E15" s="46">
        <v>212.2</v>
      </c>
      <c r="F15" s="46">
        <f>7667.69+5475</f>
        <v>13142.689999999999</v>
      </c>
      <c r="G15" s="46">
        <v>2548.49</v>
      </c>
      <c r="H15" s="46">
        <v>9079.97</v>
      </c>
      <c r="I15" s="46">
        <v>13155.03</v>
      </c>
      <c r="J15" s="9"/>
      <c r="K15" s="10"/>
      <c r="L15" s="10">
        <v>1233.58</v>
      </c>
      <c r="M15" s="10"/>
      <c r="N15" s="10">
        <v>400</v>
      </c>
      <c r="O15" s="10">
        <v>11174.6</v>
      </c>
      <c r="P15" s="10"/>
      <c r="Q15" s="10"/>
      <c r="R15" s="10">
        <f>2064+2159.4</f>
        <v>4223.4</v>
      </c>
      <c r="S15" s="10"/>
      <c r="T15" s="10"/>
      <c r="U15" s="18">
        <v>549.65</v>
      </c>
      <c r="V15" s="59">
        <f t="shared" si="5"/>
        <v>17581.230000000003</v>
      </c>
      <c r="W15" s="86">
        <f>SUM(C15:U15)</f>
        <v>138295.12</v>
      </c>
    </row>
    <row r="16" spans="1:23" ht="13.5" customHeight="1" thickBot="1">
      <c r="A16" s="39" t="s">
        <v>33</v>
      </c>
      <c r="B16" s="31" t="s">
        <v>6</v>
      </c>
      <c r="C16" s="46">
        <v>0</v>
      </c>
      <c r="D16" s="74">
        <v>1334.11</v>
      </c>
      <c r="E16" s="46">
        <v>0</v>
      </c>
      <c r="F16" s="46">
        <v>0</v>
      </c>
      <c r="G16" s="46"/>
      <c r="H16" s="46">
        <v>7636.9</v>
      </c>
      <c r="I16" s="46">
        <v>0</v>
      </c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8"/>
      <c r="V16" s="59">
        <f t="shared" si="5"/>
        <v>0</v>
      </c>
      <c r="W16" s="86">
        <f t="shared" si="6"/>
        <v>8971.01</v>
      </c>
    </row>
    <row r="17" spans="1:23" ht="13.5" customHeight="1" thickBot="1">
      <c r="A17" s="39" t="s">
        <v>34</v>
      </c>
      <c r="B17" s="31" t="s">
        <v>49</v>
      </c>
      <c r="C17" s="46">
        <v>0</v>
      </c>
      <c r="D17" s="74">
        <v>3224.64</v>
      </c>
      <c r="E17" s="46">
        <v>0</v>
      </c>
      <c r="F17" s="46">
        <v>0</v>
      </c>
      <c r="G17" s="46"/>
      <c r="H17" s="46">
        <v>0</v>
      </c>
      <c r="I17" s="46">
        <v>2700</v>
      </c>
      <c r="J17" s="9"/>
      <c r="K17" s="10"/>
      <c r="L17" s="10"/>
      <c r="M17" s="10"/>
      <c r="N17" s="10"/>
      <c r="O17" s="10">
        <v>2800</v>
      </c>
      <c r="P17" s="10"/>
      <c r="Q17" s="10"/>
      <c r="R17" s="10"/>
      <c r="S17" s="10"/>
      <c r="T17" s="10"/>
      <c r="U17" s="18"/>
      <c r="V17" s="59">
        <f t="shared" si="5"/>
        <v>2800</v>
      </c>
      <c r="W17" s="86">
        <f t="shared" si="6"/>
        <v>8724.64</v>
      </c>
    </row>
    <row r="18" spans="1:23" ht="14.25" customHeight="1" thickBot="1">
      <c r="A18" s="39" t="s">
        <v>35</v>
      </c>
      <c r="B18" s="34" t="s">
        <v>58</v>
      </c>
      <c r="C18" s="46">
        <v>5809.95</v>
      </c>
      <c r="D18" s="74">
        <v>15044.33</v>
      </c>
      <c r="E18" s="46">
        <v>7198.9</v>
      </c>
      <c r="F18" s="46">
        <v>8933.99</v>
      </c>
      <c r="G18" s="46">
        <v>53377.14</v>
      </c>
      <c r="H18" s="46">
        <v>6117.25</v>
      </c>
      <c r="I18" s="46">
        <v>14353.71</v>
      </c>
      <c r="J18" s="9">
        <v>105</v>
      </c>
      <c r="K18" s="10">
        <v>144</v>
      </c>
      <c r="L18" s="10">
        <v>696.91</v>
      </c>
      <c r="M18" s="10">
        <v>196</v>
      </c>
      <c r="N18" s="10">
        <v>240</v>
      </c>
      <c r="O18" s="10">
        <v>720</v>
      </c>
      <c r="P18" s="10">
        <v>322.5</v>
      </c>
      <c r="Q18" s="10">
        <f>10601.13+1445</f>
        <v>12046.13</v>
      </c>
      <c r="R18" s="10">
        <f>6057+3120.4</f>
        <v>9177.4</v>
      </c>
      <c r="S18" s="10">
        <f>19187.38+2620</f>
        <v>21807.38</v>
      </c>
      <c r="T18" s="10">
        <v>120</v>
      </c>
      <c r="U18" s="18">
        <v>90</v>
      </c>
      <c r="V18" s="59">
        <f t="shared" si="5"/>
        <v>45665.32</v>
      </c>
      <c r="W18" s="86">
        <f>SUM(C18:U18)</f>
        <v>156500.59</v>
      </c>
    </row>
    <row r="19" spans="1:23" ht="23.25" thickBot="1">
      <c r="A19" s="39" t="s">
        <v>36</v>
      </c>
      <c r="B19" s="34" t="s">
        <v>47</v>
      </c>
      <c r="C19" s="46">
        <v>0</v>
      </c>
      <c r="D19" s="74">
        <v>321.8</v>
      </c>
      <c r="E19" s="46">
        <v>256</v>
      </c>
      <c r="F19" s="46">
        <v>0</v>
      </c>
      <c r="G19" s="46">
        <v>9023.44</v>
      </c>
      <c r="H19" s="46">
        <v>52.96</v>
      </c>
      <c r="I19" s="46">
        <v>1086</v>
      </c>
      <c r="J19" s="9">
        <v>8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8">
        <v>247.01</v>
      </c>
      <c r="V19" s="59">
        <f t="shared" si="5"/>
        <v>255.01</v>
      </c>
      <c r="W19" s="86">
        <f t="shared" si="6"/>
        <v>10995.21</v>
      </c>
    </row>
    <row r="20" spans="1:23" ht="13.5" customHeight="1" thickBot="1">
      <c r="A20" s="39" t="s">
        <v>37</v>
      </c>
      <c r="B20" s="34" t="s">
        <v>70</v>
      </c>
      <c r="C20" s="46">
        <v>11052.97</v>
      </c>
      <c r="D20" s="74">
        <v>12911.04</v>
      </c>
      <c r="E20" s="46">
        <v>6710.85</v>
      </c>
      <c r="F20" s="46">
        <v>0</v>
      </c>
      <c r="G20" s="46"/>
      <c r="H20" s="46">
        <v>0</v>
      </c>
      <c r="I20" s="46">
        <v>0</v>
      </c>
      <c r="J20" s="9">
        <v>1496.31</v>
      </c>
      <c r="K20" s="10">
        <v>912.01</v>
      </c>
      <c r="L20" s="10">
        <v>1204.16</v>
      </c>
      <c r="M20" s="10">
        <v>1204.21</v>
      </c>
      <c r="N20" s="10">
        <v>1204.21</v>
      </c>
      <c r="O20" s="10">
        <v>1421.21</v>
      </c>
      <c r="P20" s="10">
        <v>1490.72</v>
      </c>
      <c r="Q20" s="10">
        <v>1490.72</v>
      </c>
      <c r="R20" s="10">
        <v>1490.72</v>
      </c>
      <c r="S20" s="10">
        <v>1490.72</v>
      </c>
      <c r="T20" s="10">
        <v>1490.72</v>
      </c>
      <c r="U20" s="18">
        <v>1490.72</v>
      </c>
      <c r="V20" s="59">
        <f t="shared" si="5"/>
        <v>16386.429999999997</v>
      </c>
      <c r="W20" s="86">
        <f t="shared" si="6"/>
        <v>47061.29000000001</v>
      </c>
    </row>
    <row r="21" spans="1:23" ht="13.5" customHeight="1" thickBot="1">
      <c r="A21" s="39"/>
      <c r="B21" s="34" t="s">
        <v>71</v>
      </c>
      <c r="C21" s="46"/>
      <c r="D21" s="74"/>
      <c r="E21" s="46"/>
      <c r="F21" s="46"/>
      <c r="G21" s="46"/>
      <c r="H21" s="46"/>
      <c r="I21" s="46"/>
      <c r="J21" s="9"/>
      <c r="K21" s="10"/>
      <c r="L21" s="10"/>
      <c r="M21" s="10"/>
      <c r="N21" s="10">
        <v>306.48</v>
      </c>
      <c r="O21" s="10">
        <v>225.07</v>
      </c>
      <c r="P21" s="10">
        <v>149.87</v>
      </c>
      <c r="Q21" s="10">
        <v>149.87</v>
      </c>
      <c r="R21" s="10">
        <v>149.87</v>
      </c>
      <c r="S21" s="10">
        <v>149.87</v>
      </c>
      <c r="T21" s="10">
        <v>149.87</v>
      </c>
      <c r="U21" s="18">
        <v>149.87</v>
      </c>
      <c r="V21" s="59">
        <f>SUM(J21:U21)</f>
        <v>1430.77</v>
      </c>
      <c r="W21" s="86">
        <f>SUM(C21:U21)</f>
        <v>1430.77</v>
      </c>
    </row>
    <row r="22" spans="1:23" ht="13.5" customHeight="1" thickBot="1">
      <c r="A22" s="39"/>
      <c r="B22" s="34" t="s">
        <v>72</v>
      </c>
      <c r="C22" s="46"/>
      <c r="D22" s="74"/>
      <c r="E22" s="46"/>
      <c r="F22" s="46"/>
      <c r="G22" s="46"/>
      <c r="H22" s="46"/>
      <c r="I22" s="46"/>
      <c r="J22" s="9"/>
      <c r="K22" s="10"/>
      <c r="L22" s="10"/>
      <c r="M22" s="10"/>
      <c r="N22" s="10"/>
      <c r="O22" s="10">
        <v>129.23</v>
      </c>
      <c r="P22" s="10">
        <v>132.35</v>
      </c>
      <c r="Q22" s="10">
        <v>132.35</v>
      </c>
      <c r="R22" s="10">
        <v>132.35</v>
      </c>
      <c r="S22" s="10">
        <v>132.35</v>
      </c>
      <c r="T22" s="10">
        <v>132.35</v>
      </c>
      <c r="U22" s="18">
        <v>132.35</v>
      </c>
      <c r="V22" s="59">
        <f>SUM(J22:U22)</f>
        <v>923.33</v>
      </c>
      <c r="W22" s="86">
        <f>SUM(C22:U22)</f>
        <v>923.33</v>
      </c>
    </row>
    <row r="23" spans="1:23" ht="13.5" customHeight="1" thickBot="1">
      <c r="A23" s="39" t="s">
        <v>38</v>
      </c>
      <c r="B23" s="34" t="s">
        <v>7</v>
      </c>
      <c r="C23" s="46">
        <v>1457.44</v>
      </c>
      <c r="D23" s="74">
        <v>870.04</v>
      </c>
      <c r="E23" s="46">
        <v>655.21</v>
      </c>
      <c r="F23" s="46">
        <v>700.27</v>
      </c>
      <c r="G23" s="46"/>
      <c r="H23" s="46">
        <v>0</v>
      </c>
      <c r="I23" s="46">
        <v>0</v>
      </c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8"/>
      <c r="V23" s="59">
        <f t="shared" si="5"/>
        <v>0</v>
      </c>
      <c r="W23" s="86">
        <f t="shared" si="6"/>
        <v>3682.96</v>
      </c>
    </row>
    <row r="24" spans="1:23" ht="22.5" customHeight="1" thickBot="1">
      <c r="A24" s="39" t="s">
        <v>39</v>
      </c>
      <c r="B24" s="34" t="s">
        <v>73</v>
      </c>
      <c r="C24" s="46">
        <v>3511.33</v>
      </c>
      <c r="D24" s="74">
        <v>12502.56</v>
      </c>
      <c r="E24" s="46">
        <v>15846.14</v>
      </c>
      <c r="F24" s="46">
        <v>15076.67</v>
      </c>
      <c r="G24" s="46">
        <v>10500.89</v>
      </c>
      <c r="H24" s="46">
        <v>12389.25</v>
      </c>
      <c r="I24" s="46">
        <v>13103.32</v>
      </c>
      <c r="J24" s="9">
        <v>1110.12</v>
      </c>
      <c r="K24" s="10">
        <v>1037.99</v>
      </c>
      <c r="L24" s="10">
        <v>1290.39</v>
      </c>
      <c r="M24" s="10">
        <v>959.23</v>
      </c>
      <c r="N24" s="10">
        <v>1021.56</v>
      </c>
      <c r="O24" s="10">
        <v>1148.81</v>
      </c>
      <c r="P24" s="10">
        <v>931.07</v>
      </c>
      <c r="Q24" s="10">
        <v>1076.96</v>
      </c>
      <c r="R24" s="10">
        <v>1012.99</v>
      </c>
      <c r="S24" s="10">
        <v>1292.43</v>
      </c>
      <c r="T24" s="10">
        <v>1336.87</v>
      </c>
      <c r="U24" s="18">
        <v>1104.73</v>
      </c>
      <c r="V24" s="59">
        <f t="shared" si="5"/>
        <v>13323.149999999998</v>
      </c>
      <c r="W24" s="86">
        <f t="shared" si="6"/>
        <v>96253.31</v>
      </c>
    </row>
    <row r="25" spans="1:23" ht="22.5" customHeight="1" thickBot="1">
      <c r="A25" s="39" t="s">
        <v>40</v>
      </c>
      <c r="B25" s="34" t="s">
        <v>63</v>
      </c>
      <c r="C25" s="46">
        <v>6207.04</v>
      </c>
      <c r="D25" s="74">
        <v>7358.2</v>
      </c>
      <c r="E25" s="46">
        <v>2042.17</v>
      </c>
      <c r="F25" s="46">
        <v>1453.11</v>
      </c>
      <c r="G25" s="46">
        <v>3159.84</v>
      </c>
      <c r="H25" s="46">
        <v>2134.95</v>
      </c>
      <c r="I25" s="46">
        <v>1864.29</v>
      </c>
      <c r="J25" s="9">
        <v>243.95</v>
      </c>
      <c r="K25" s="10">
        <v>75.06</v>
      </c>
      <c r="L25" s="10">
        <v>80.57</v>
      </c>
      <c r="M25" s="10">
        <v>74.53</v>
      </c>
      <c r="N25" s="10">
        <v>72.32</v>
      </c>
      <c r="O25" s="10">
        <v>112.46</v>
      </c>
      <c r="P25" s="10">
        <v>105.64</v>
      </c>
      <c r="Q25" s="10">
        <v>325.25</v>
      </c>
      <c r="R25" s="10">
        <v>75.92</v>
      </c>
      <c r="S25" s="10">
        <v>112.25</v>
      </c>
      <c r="T25" s="10">
        <v>75.9</v>
      </c>
      <c r="U25" s="18">
        <v>103.47</v>
      </c>
      <c r="V25" s="59">
        <f t="shared" si="5"/>
        <v>1457.3200000000004</v>
      </c>
      <c r="W25" s="86">
        <f t="shared" si="6"/>
        <v>25676.920000000002</v>
      </c>
    </row>
    <row r="26" spans="1:23" ht="37.5" customHeight="1" thickBot="1">
      <c r="A26" s="39" t="s">
        <v>41</v>
      </c>
      <c r="B26" s="34" t="s">
        <v>64</v>
      </c>
      <c r="C26" s="46">
        <v>7894.12</v>
      </c>
      <c r="D26" s="74">
        <v>11139.08</v>
      </c>
      <c r="E26" s="46">
        <v>10616.93</v>
      </c>
      <c r="F26" s="46">
        <v>14254.38</v>
      </c>
      <c r="G26" s="46">
        <v>12252.38</v>
      </c>
      <c r="H26" s="46">
        <v>15823.09</v>
      </c>
      <c r="I26" s="46">
        <v>13486.58</v>
      </c>
      <c r="J26" s="9">
        <f>48.93+340.82+557.87</f>
        <v>947.62</v>
      </c>
      <c r="K26" s="10">
        <f>48.72+403.84+342.08</f>
        <v>794.6399999999999</v>
      </c>
      <c r="L26" s="10">
        <f>47.98+448.85+600.82</f>
        <v>1097.65</v>
      </c>
      <c r="M26" s="10">
        <f>45.31+411.5+578.44</f>
        <v>1035.25</v>
      </c>
      <c r="N26" s="10">
        <f>46.54+499.02+1415.09</f>
        <v>1960.6499999999999</v>
      </c>
      <c r="O26" s="10">
        <f>687.55+54.61+408.65</f>
        <v>1150.81</v>
      </c>
      <c r="P26" s="10">
        <f>59.75+359.65+642.08</f>
        <v>1061.48</v>
      </c>
      <c r="Q26" s="10">
        <f>64.77+331.86+765.3</f>
        <v>1161.9299999999998</v>
      </c>
      <c r="R26" s="10">
        <f>657.03+52.08+420.87</f>
        <v>1129.98</v>
      </c>
      <c r="S26" s="10">
        <f>66.89+475.64+693.84</f>
        <v>1236.37</v>
      </c>
      <c r="T26" s="10">
        <f>61.39+554.25+1095.24</f>
        <v>1710.88</v>
      </c>
      <c r="U26" s="18">
        <f>63.26+558.46+464.68</f>
        <v>1086.4</v>
      </c>
      <c r="V26" s="59">
        <f t="shared" si="5"/>
        <v>14373.659999999998</v>
      </c>
      <c r="W26" s="86">
        <f t="shared" si="6"/>
        <v>99840.21999999996</v>
      </c>
    </row>
    <row r="27" spans="1:23" ht="15.75" customHeight="1" thickBot="1">
      <c r="A27" s="39" t="s">
        <v>54</v>
      </c>
      <c r="B27" s="34" t="s">
        <v>10</v>
      </c>
      <c r="C27" s="46">
        <v>56006.36</v>
      </c>
      <c r="D27" s="74">
        <v>105712.78</v>
      </c>
      <c r="E27" s="46">
        <v>133350.35</v>
      </c>
      <c r="F27" s="46">
        <v>141850.53</v>
      </c>
      <c r="G27" s="46">
        <v>144144.8</v>
      </c>
      <c r="H27" s="46">
        <v>159029.75</v>
      </c>
      <c r="I27" s="46">
        <v>156681.68</v>
      </c>
      <c r="J27" s="9">
        <f>28892.35-15908.9</f>
        <v>12983.449999999999</v>
      </c>
      <c r="K27" s="10">
        <f>24431.67-12383.19</f>
        <v>12048.479999999998</v>
      </c>
      <c r="L27" s="10">
        <f>26958.47-14508.07</f>
        <v>12450.400000000001</v>
      </c>
      <c r="M27" s="10">
        <f>25170.17-12587.72</f>
        <v>12582.449999999999</v>
      </c>
      <c r="N27" s="10">
        <f>7732.94+1575.22+2788.37+558.34</f>
        <v>12654.869999999999</v>
      </c>
      <c r="O27" s="10">
        <f>39761.93-27036.9</f>
        <v>12725.029999999999</v>
      </c>
      <c r="P27" s="10">
        <f>26866.6-12701.45</f>
        <v>14165.149999999998</v>
      </c>
      <c r="Q27" s="10">
        <f>41488.98-24890.36</f>
        <v>16598.620000000003</v>
      </c>
      <c r="R27" s="10">
        <f>40816.43-25722.34</f>
        <v>15094.09</v>
      </c>
      <c r="S27" s="10">
        <f>52260.44-34864.75</f>
        <v>17395.690000000002</v>
      </c>
      <c r="T27" s="10">
        <f>25905.06-13303</f>
        <v>12602.060000000001</v>
      </c>
      <c r="U27" s="18">
        <f>25674.65-13411.71</f>
        <v>12262.940000000002</v>
      </c>
      <c r="V27" s="59">
        <f t="shared" si="5"/>
        <v>163563.22999999998</v>
      </c>
      <c r="W27" s="86">
        <f t="shared" si="6"/>
        <v>1060339.48</v>
      </c>
    </row>
    <row r="28" spans="1:23" ht="13.5" customHeight="1" thickBot="1">
      <c r="A28" s="39" t="s">
        <v>55</v>
      </c>
      <c r="B28" s="35" t="s">
        <v>4</v>
      </c>
      <c r="C28" s="47">
        <v>8846.35</v>
      </c>
      <c r="D28" s="75">
        <v>17395.65</v>
      </c>
      <c r="E28" s="47">
        <v>35723.59</v>
      </c>
      <c r="F28" s="47">
        <v>45870.09</v>
      </c>
      <c r="G28" s="47">
        <v>45254.5</v>
      </c>
      <c r="H28" s="47">
        <v>33413.15</v>
      </c>
      <c r="I28" s="47">
        <v>33296.08</v>
      </c>
      <c r="J28" s="11">
        <f>3966.64+837.66</f>
        <v>4804.3</v>
      </c>
      <c r="K28" s="12">
        <f>139.13+2143.62+40.67+824.3</f>
        <v>3147.7200000000003</v>
      </c>
      <c r="L28" s="12">
        <f>2575.7+45.13+924.79</f>
        <v>3545.62</v>
      </c>
      <c r="M28" s="12">
        <f>2278.94+42.6+949.21</f>
        <v>3270.75</v>
      </c>
      <c r="N28" s="12">
        <f>2318.04+44.34+831.66</f>
        <v>3194.04</v>
      </c>
      <c r="O28" s="12">
        <f>2394.54+42.78+844.29</f>
        <v>3281.61</v>
      </c>
      <c r="P28" s="12">
        <f>2561.64+56.34+926.93</f>
        <v>3544.91</v>
      </c>
      <c r="Q28" s="12">
        <f>2466.97+71.72+965.53</f>
        <v>3504.2199999999993</v>
      </c>
      <c r="R28" s="12">
        <f>2392.4+58.42+810.08</f>
        <v>3260.9</v>
      </c>
      <c r="S28" s="12">
        <f>2598.26+62.49+902</f>
        <v>3562.75</v>
      </c>
      <c r="T28" s="12">
        <f>2345.82+56.59+842.53</f>
        <v>3244.9400000000005</v>
      </c>
      <c r="U28" s="20">
        <f>2517.81+65.07+832.66</f>
        <v>3415.54</v>
      </c>
      <c r="V28" s="59">
        <f t="shared" si="5"/>
        <v>41777.3</v>
      </c>
      <c r="W28" s="86">
        <f t="shared" si="6"/>
        <v>261576.70999999996</v>
      </c>
    </row>
    <row r="29" spans="1:23" ht="13.5" customHeight="1" thickBot="1">
      <c r="A29" s="39"/>
      <c r="B29" s="42" t="s">
        <v>60</v>
      </c>
      <c r="C29" s="78"/>
      <c r="D29" s="79"/>
      <c r="E29" s="78"/>
      <c r="F29" s="78"/>
      <c r="G29" s="82">
        <f>G8*5%</f>
        <v>17180.079999999998</v>
      </c>
      <c r="H29" s="82">
        <f>H8*5%</f>
        <v>17179.666</v>
      </c>
      <c r="I29" s="82">
        <f>I8*5%</f>
        <v>17183.53</v>
      </c>
      <c r="J29" s="80">
        <f>J8*5%</f>
        <v>1186.7540000000001</v>
      </c>
      <c r="K29" s="80">
        <f aca="true" t="shared" si="7" ref="K29:U29">K8*5%</f>
        <v>1186.7540000000001</v>
      </c>
      <c r="L29" s="80">
        <f t="shared" si="7"/>
        <v>1186.7540000000001</v>
      </c>
      <c r="M29" s="80">
        <f t="shared" si="7"/>
        <v>1187.03</v>
      </c>
      <c r="N29" s="80">
        <f t="shared" si="7"/>
        <v>1187.03</v>
      </c>
      <c r="O29" s="80">
        <f t="shared" si="7"/>
        <v>1187.03</v>
      </c>
      <c r="P29" s="80">
        <f t="shared" si="7"/>
        <v>1187.03</v>
      </c>
      <c r="Q29" s="80">
        <f t="shared" si="7"/>
        <v>1187.03</v>
      </c>
      <c r="R29" s="80">
        <f t="shared" si="7"/>
        <v>1187.03</v>
      </c>
      <c r="S29" s="80">
        <f t="shared" si="7"/>
        <v>1187.03</v>
      </c>
      <c r="T29" s="80">
        <f t="shared" si="7"/>
        <v>1187.03</v>
      </c>
      <c r="U29" s="80">
        <f t="shared" si="7"/>
        <v>1187.03</v>
      </c>
      <c r="V29" s="82">
        <f t="shared" si="5"/>
        <v>14243.532000000003</v>
      </c>
      <c r="W29" s="87"/>
    </row>
    <row r="30" spans="1:23" ht="14.25" customHeight="1" thickBot="1">
      <c r="A30" s="39" t="s">
        <v>42</v>
      </c>
      <c r="B30" s="63" t="s">
        <v>50</v>
      </c>
      <c r="C30" s="64"/>
      <c r="D30" s="76"/>
      <c r="E30" s="64"/>
      <c r="F30" s="64"/>
      <c r="G30" s="64"/>
      <c r="H30" s="64"/>
      <c r="I30" s="64"/>
      <c r="J30" s="81">
        <f>SUM(J8+J9+J10-J13)-J29</f>
        <v>2466.325999999998</v>
      </c>
      <c r="K30" s="81">
        <f aca="true" t="shared" si="8" ref="K30:U30">SUM(K8+K9+K10-K13)-K29</f>
        <v>5536.485999999998</v>
      </c>
      <c r="L30" s="81">
        <f t="shared" si="8"/>
        <v>2670.2460000000037</v>
      </c>
      <c r="M30" s="81">
        <f t="shared" si="8"/>
        <v>4602.239999999997</v>
      </c>
      <c r="N30" s="81">
        <f t="shared" si="8"/>
        <v>3126.769999999996</v>
      </c>
      <c r="O30" s="81">
        <f t="shared" si="8"/>
        <v>-9365.31</v>
      </c>
      <c r="P30" s="81">
        <f t="shared" si="8"/>
        <v>3622.930000000003</v>
      </c>
      <c r="Q30" s="81">
        <f t="shared" si="8"/>
        <v>-10999.449999999995</v>
      </c>
      <c r="R30" s="81">
        <f t="shared" si="8"/>
        <v>-10326.9</v>
      </c>
      <c r="S30" s="81">
        <f t="shared" si="8"/>
        <v>-21770.91</v>
      </c>
      <c r="T30" s="81">
        <f t="shared" si="8"/>
        <v>4584.469999999997</v>
      </c>
      <c r="U30" s="81">
        <f t="shared" si="8"/>
        <v>4814.88</v>
      </c>
      <c r="V30" s="82">
        <f t="shared" si="5"/>
        <v>-21038.221999999998</v>
      </c>
      <c r="W30" s="87"/>
    </row>
    <row r="31" spans="1:23" ht="29.25" customHeight="1" thickBot="1">
      <c r="A31" s="39" t="s">
        <v>43</v>
      </c>
      <c r="B31" s="42" t="s">
        <v>24</v>
      </c>
      <c r="C31" s="42">
        <v>56905.24</v>
      </c>
      <c r="D31" s="19">
        <f>SUM(D8-D13)</f>
        <v>93362.86000000004</v>
      </c>
      <c r="E31" s="59">
        <f>SUM(E8-E13)</f>
        <v>75526.42000000004</v>
      </c>
      <c r="F31" s="59">
        <f>SUM(F8-F13)</f>
        <v>35765.25999999995</v>
      </c>
      <c r="G31" s="82">
        <f>SUM(G8-G13)-G29</f>
        <v>-23643.140000000054</v>
      </c>
      <c r="H31" s="82">
        <f>SUM(H8-H13)-H29</f>
        <v>20799.164000000015</v>
      </c>
      <c r="I31" s="82">
        <f>SUM(I8-I13)-I29</f>
        <v>15174.279999999999</v>
      </c>
      <c r="J31" s="93">
        <f>SUM(J8+J9+J10-J13)-J29</f>
        <v>2466.325999999998</v>
      </c>
      <c r="K31" s="83">
        <f>SUM(K30+J31)</f>
        <v>8002.811999999996</v>
      </c>
      <c r="L31" s="83">
        <f aca="true" t="shared" si="9" ref="L31:U31">SUM(L30+K31)</f>
        <v>10673.058</v>
      </c>
      <c r="M31" s="83">
        <f t="shared" si="9"/>
        <v>15275.297999999999</v>
      </c>
      <c r="N31" s="83">
        <f t="shared" si="9"/>
        <v>18402.067999999996</v>
      </c>
      <c r="O31" s="83">
        <f t="shared" si="9"/>
        <v>9036.757999999996</v>
      </c>
      <c r="P31" s="83">
        <f t="shared" si="9"/>
        <v>12659.687999999998</v>
      </c>
      <c r="Q31" s="83">
        <f t="shared" si="9"/>
        <v>1660.238000000003</v>
      </c>
      <c r="R31" s="83">
        <f t="shared" si="9"/>
        <v>-8666.661999999997</v>
      </c>
      <c r="S31" s="83">
        <f t="shared" si="9"/>
        <v>-30437.571999999996</v>
      </c>
      <c r="T31" s="83">
        <f t="shared" si="9"/>
        <v>-25853.102</v>
      </c>
      <c r="U31" s="83">
        <f t="shared" si="9"/>
        <v>-21038.221999999998</v>
      </c>
      <c r="V31" s="59"/>
      <c r="W31" s="88"/>
    </row>
    <row r="32" spans="1:23" ht="21.75" customHeight="1" hidden="1" thickBot="1">
      <c r="A32" s="39" t="s">
        <v>44</v>
      </c>
      <c r="B32" s="48" t="s">
        <v>25</v>
      </c>
      <c r="C32" s="42">
        <v>56905.24</v>
      </c>
      <c r="D32" s="19">
        <f>SUM(D8-D13,C32)</f>
        <v>150268.10000000003</v>
      </c>
      <c r="E32" s="59">
        <f>SUM(E8-E13,D32)</f>
        <v>225794.52000000008</v>
      </c>
      <c r="F32" s="59">
        <f>SUM(F8-F13,E32)</f>
        <v>261559.78000000003</v>
      </c>
      <c r="G32" s="84">
        <f>SUM(G31+F32)</f>
        <v>237916.63999999998</v>
      </c>
      <c r="H32" s="84">
        <f>SUM(H31+G32)</f>
        <v>258715.804</v>
      </c>
      <c r="I32" s="84">
        <f>SUM(I31+H32)</f>
        <v>273890.08400000003</v>
      </c>
      <c r="J32" s="84">
        <f>SUM(J31+I32)</f>
        <v>276356.41000000003</v>
      </c>
      <c r="K32" s="83">
        <f>SUM(K30+J32)</f>
        <v>281892.896</v>
      </c>
      <c r="L32" s="83">
        <f aca="true" t="shared" si="10" ref="L32:T32">SUM(L30+K32)</f>
        <v>284563.142</v>
      </c>
      <c r="M32" s="83">
        <f t="shared" si="10"/>
        <v>289165.382</v>
      </c>
      <c r="N32" s="83">
        <f t="shared" si="10"/>
        <v>292292.152</v>
      </c>
      <c r="O32" s="83">
        <f t="shared" si="10"/>
        <v>282926.842</v>
      </c>
      <c r="P32" s="83">
        <f t="shared" si="10"/>
        <v>286549.772</v>
      </c>
      <c r="Q32" s="83">
        <f t="shared" si="10"/>
        <v>275550.322</v>
      </c>
      <c r="R32" s="83">
        <f t="shared" si="10"/>
        <v>265223.42199999996</v>
      </c>
      <c r="S32" s="83">
        <f t="shared" si="10"/>
        <v>243452.51199999996</v>
      </c>
      <c r="T32" s="83">
        <f t="shared" si="10"/>
        <v>248036.98199999996</v>
      </c>
      <c r="U32" s="83">
        <f>SUM(U30+T32)+0.01</f>
        <v>252851.87199999997</v>
      </c>
      <c r="V32" s="59"/>
      <c r="W32" s="52"/>
    </row>
    <row r="33" spans="1:23" ht="1.5" customHeight="1" hidden="1" thickBot="1">
      <c r="A33" s="40"/>
      <c r="B33" s="48"/>
      <c r="C33" s="43"/>
      <c r="D33" s="43"/>
      <c r="E33" s="69"/>
      <c r="F33" s="69"/>
      <c r="G33" s="69"/>
      <c r="H33" s="69"/>
      <c r="I33" s="69"/>
      <c r="J33" s="14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21"/>
      <c r="V33" s="58"/>
      <c r="W33" s="53"/>
    </row>
    <row r="34" spans="1:23" ht="18" customHeight="1" hidden="1" thickBot="1">
      <c r="A34" s="40"/>
      <c r="B34" s="36"/>
      <c r="C34" s="43"/>
      <c r="D34" s="43"/>
      <c r="E34" s="69"/>
      <c r="F34" s="69"/>
      <c r="G34" s="69"/>
      <c r="H34" s="69"/>
      <c r="I34" s="69"/>
      <c r="J34" s="14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21"/>
      <c r="V34" s="59"/>
      <c r="W34" s="54"/>
    </row>
    <row r="35" spans="1:23" ht="18.75" customHeight="1" hidden="1" thickBot="1">
      <c r="A35" s="49"/>
      <c r="B35" s="37"/>
      <c r="C35" s="44"/>
      <c r="D35" s="44"/>
      <c r="E35" s="70"/>
      <c r="F35" s="70"/>
      <c r="G35" s="70"/>
      <c r="H35" s="70"/>
      <c r="I35" s="70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60"/>
      <c r="W35" s="55"/>
    </row>
    <row r="36" spans="1:23" ht="14.25" customHeight="1" hidden="1" thickBot="1">
      <c r="A36" s="62"/>
      <c r="B36" s="37"/>
      <c r="C36" s="44"/>
      <c r="D36" s="44"/>
      <c r="E36" s="70"/>
      <c r="F36" s="70"/>
      <c r="G36" s="70"/>
      <c r="H36" s="70"/>
      <c r="I36" s="70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60"/>
      <c r="W36" s="55"/>
    </row>
    <row r="37" spans="2:23" ht="15.75" customHeight="1">
      <c r="B37" t="s">
        <v>52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4"/>
    </row>
    <row r="38" ht="11.25" customHeight="1"/>
    <row r="39" ht="10.5" customHeight="1"/>
    <row r="40" ht="12.75" hidden="1"/>
    <row r="41" ht="12.75" customHeight="1"/>
    <row r="46" ht="12.75" customHeight="1"/>
    <row r="47" ht="12.75" customHeight="1"/>
  </sheetData>
  <sheetProtection/>
  <mergeCells count="5">
    <mergeCell ref="B4:W4"/>
    <mergeCell ref="B5:W5"/>
    <mergeCell ref="B3:W3"/>
    <mergeCell ref="B1:L1"/>
    <mergeCell ref="B2:S2"/>
  </mergeCells>
  <printOptions/>
  <pageMargins left="0.2362204724409449" right="0.2362204724409449" top="0.984251968503937" bottom="0.2362204724409449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2018-02-07T11:40:43Z</cp:lastPrinted>
  <dcterms:created xsi:type="dcterms:W3CDTF">2011-06-16T11:06:26Z</dcterms:created>
  <dcterms:modified xsi:type="dcterms:W3CDTF">2018-02-12T08:08:16Z</dcterms:modified>
  <cp:category/>
  <cp:version/>
  <cp:contentType/>
  <cp:contentStatus/>
</cp:coreProperties>
</file>