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<sst xmlns="http://schemas.openxmlformats.org/spreadsheetml/2006/main" count="70" uniqueCount="69">
  <si>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</si>
  <si>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</si>
  <si>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</si>
  <si>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</si>
  <si>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</si>
  <si>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</si>
  <si>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</si>
  <si>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</si>
  <si>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</si>
  <si>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</si>
  <si>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</si>
  <si>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</si>
  <si>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</si>
  <si>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</si>
  <si>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</si>
  <si>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</si>
  <si>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</si>
  <si>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</si>
  <si>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</si>
  <si>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</si>
  <si>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</si>
  <si>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</si>
  <si>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</si>
  <si>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</si>
  <si>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</si>
  <si>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</si>
  <si>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</si>
  <si>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</si>
  <si>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</si>
  <si>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</si>
  <si>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</si>
  <si>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</si>
  <si>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</si>
  <si>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</si>
  <si>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</si>
  <si>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</si>
  <si>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4.9</t>
  </si>
  <si>
    <t>4.10</t>
  </si>
  <si>
    <t>4.11</t>
  </si>
  <si>
    <t>5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</si>
  <si>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</si>
  <si>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</si>
  <si>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</si>
  <si>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</si>
  <si>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</si>
  <si>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</si>
  <si>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</si>
  <si>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д.13</t>
  </si>
  <si>
    <t>Итого за 2011 г</t>
  </si>
  <si>
    <t>Результат за месяц</t>
  </si>
  <si>
    <t>Дом по ул.Нахимова д.13 вступил в ООО "Наш дом" с октября 2010  года                       тариф 8,3 руб</t>
  </si>
  <si>
    <t>Итого за 2012 г</t>
  </si>
  <si>
    <t>Благоустройство территории</t>
  </si>
  <si>
    <t>4.12</t>
  </si>
  <si>
    <t>4.13</t>
  </si>
  <si>
    <t>Итого за 2013 г</t>
  </si>
  <si>
    <t xml:space="preserve">%  оплаты </t>
  </si>
  <si>
    <t>Итого за 2014 г</t>
  </si>
  <si>
    <t>рентабельность 5%</t>
  </si>
  <si>
    <t>Итого за 2015 г</t>
  </si>
  <si>
    <t>Материалы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</si>
  <si>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</si>
  <si>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</si>
  <si>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</si>
  <si>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</si>
  <si>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вед. экономист  /Викторова Л.С./</t>
  </si>
  <si>
    <t>Итого за 2016 г</t>
  </si>
  <si>
    <t>Итого за 2017 г</t>
  </si>
  <si>
    <t>Всего за 2010-2017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</si>
</sst>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1" fontId="21" fillId="0" borderId="3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5" fillId="0" borderId="28" xfId="0" applyFon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1" fontId="21" fillId="0" borderId="34" xfId="0" applyNumberFormat="1" applyFont="1" applyBorder="1" applyAlignment="1">
      <alignment horizontal="center"/>
    </xf>
    <xf numFmtId="0" fontId="21" fillId="0" borderId="41" xfId="0" applyFont="1" applyBorder="1" applyAlignment="1">
      <alignment/>
    </xf>
    <xf numFmtId="0" fontId="21" fillId="0" borderId="36" xfId="0" applyFont="1" applyBorder="1" applyAlignment="1">
      <alignment/>
    </xf>
    <xf numFmtId="0" fontId="20" fillId="2" borderId="37" xfId="0" applyFont="1" applyFill="1" applyBorder="1" applyAlignment="1">
      <alignment/>
    </xf>
    <xf numFmtId="0" fontId="21" fillId="0" borderId="33" xfId="0" applyFont="1" applyBorder="1" applyAlignment="1">
      <alignment/>
    </xf>
    <xf numFmtId="1" fontId="20" fillId="0" borderId="42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2" fontId="25" fillId="0" borderId="36" xfId="0" applyNumberFormat="1" applyFont="1" applyBorder="1" applyAlignment="1">
      <alignment/>
    </xf>
    <xf numFmtId="0" fontId="21" fillId="0" borderId="40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0" fontId="26" fillId="0" borderId="27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19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wrapText="1"/>
    </xf>
    <xf numFmtId="0" fontId="26" fillId="0" borderId="45" xfId="0" applyFont="1" applyBorder="1" applyAlignment="1">
      <alignment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28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2" xfId="0" applyNumberFormat="1" applyBorder="1" applyAlignment="1">
      <alignment horizontal="center"/>
    </xf>
    <xf numFmtId="2" fontId="21" fillId="0" borderId="49" xfId="0" applyNumberFormat="1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37" xfId="0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49" fontId="0" fillId="0" borderId="36" xfId="0" applyNumberFormat="1" applyBorder="1" applyAlignment="1">
      <alignment horizontal="center"/>
    </xf>
    <xf numFmtId="0" fontId="21" fillId="0" borderId="28" xfId="0" applyFont="1" applyBorder="1" applyAlignment="1">
      <alignment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zoomScalePageLayoutView="0" workbookViewId="0" topLeftCell="A1">
      <selection activeCell="N37" sqref="N36:N37"/>
    </sheetView>
  </sheetViews>
  <sheetFormatPr defaultColWidth="9.00390625" defaultRowHeight="12.75"/>
  <cols>
    <col min="1" max="1" width="4.75390625" style="29" customWidth="1"/>
    <col min="2" max="2" width="18.75390625" style="0" customWidth="1"/>
    <col min="3" max="3" width="7.75390625" style="0" hidden="1" customWidth="1"/>
    <col min="4" max="4" width="7.625" style="0" hidden="1" customWidth="1"/>
    <col min="5" max="5" width="9.125" style="0" hidden="1" customWidth="1"/>
    <col min="6" max="6" width="9.25390625" style="0" hidden="1" customWidth="1"/>
    <col min="7" max="7" width="9.375" style="0" hidden="1" customWidth="1"/>
    <col min="8" max="8" width="9.625" style="0" hidden="1" customWidth="1"/>
    <col min="9" max="9" width="9.375" style="0" hidden="1" customWidth="1"/>
    <col min="10" max="10" width="8.625" style="0" customWidth="1"/>
    <col min="11" max="11" width="8.75390625" style="0" customWidth="1"/>
    <col min="12" max="12" width="9.25390625" style="0" customWidth="1"/>
    <col min="13" max="13" width="8.00390625" style="0" customWidth="1"/>
    <col min="14" max="14" width="8.625" style="0" customWidth="1"/>
    <col min="15" max="16" width="8.25390625" style="0" customWidth="1"/>
    <col min="17" max="17" width="8.125" style="0" customWidth="1"/>
    <col min="18" max="18" width="9.00390625" style="0" customWidth="1"/>
    <col min="19" max="19" width="8.75390625" style="0" customWidth="1"/>
    <col min="20" max="20" width="8.625" style="0" customWidth="1"/>
    <col min="21" max="21" width="8.25390625" style="0" customWidth="1"/>
    <col min="22" max="22" width="10.375" style="0" customWidth="1"/>
    <col min="23" max="23" width="10.00390625" style="0" hidden="1" customWidth="1"/>
  </cols>
  <sheetData>
    <row r="1" spans="2:28" ht="12.75" customHeight="1">
      <c r="B1" s="90" t="s">
        <v>8</v>
      </c>
      <c r="C1" s="90"/>
      <c r="D1" s="90"/>
      <c r="E1" s="90"/>
      <c r="F1" s="90"/>
      <c r="G1" s="90"/>
      <c r="H1" s="90"/>
      <c r="I1" s="90"/>
      <c r="J1" s="90"/>
      <c r="K1" s="90"/>
      <c r="L1" s="90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0" t="s">
        <v>50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89" t="s">
        <v>0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3"/>
      <c r="Y3" s="3"/>
      <c r="Z3" s="3"/>
      <c r="AA3" s="3"/>
      <c r="AB3" s="3"/>
    </row>
    <row r="4" spans="2:28" ht="15" customHeight="1">
      <c r="B4" s="88" t="s">
        <v>10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2"/>
      <c r="Y4" s="2"/>
      <c r="Z4" s="2"/>
      <c r="AA4" s="2"/>
      <c r="AB4" s="2"/>
    </row>
    <row r="5" spans="2:28" ht="16.5" customHeight="1">
      <c r="B5" s="88" t="s">
        <v>47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2"/>
      <c r="Y5" s="2"/>
      <c r="Z5" s="2"/>
      <c r="AA5" s="2"/>
      <c r="AB5" s="2"/>
    </row>
    <row r="6" spans="2:28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38.25" customHeight="1" thickBot="1">
      <c r="A7" s="40" t="s">
        <v>27</v>
      </c>
      <c r="B7" s="30" t="s">
        <v>6</v>
      </c>
      <c r="C7" s="43" t="s">
        <v>44</v>
      </c>
      <c r="D7" s="75" t="s">
        <v>48</v>
      </c>
      <c r="E7" s="57" t="s">
        <v>51</v>
      </c>
      <c r="F7" s="57" t="s">
        <v>55</v>
      </c>
      <c r="G7" s="57" t="s">
        <v>57</v>
      </c>
      <c r="H7" s="57" t="s">
        <v>59</v>
      </c>
      <c r="I7" s="57" t="s">
        <v>66</v>
      </c>
      <c r="J7" s="6" t="s">
        <v>11</v>
      </c>
      <c r="K7" s="5" t="s">
        <v>12</v>
      </c>
      <c r="L7" s="5" t="s">
        <v>13</v>
      </c>
      <c r="M7" s="5" t="s">
        <v>14</v>
      </c>
      <c r="N7" s="5" t="s">
        <v>15</v>
      </c>
      <c r="O7" s="5" t="s">
        <v>16</v>
      </c>
      <c r="P7" s="5" t="s">
        <v>17</v>
      </c>
      <c r="Q7" s="5" t="s">
        <v>18</v>
      </c>
      <c r="R7" s="5" t="s">
        <v>19</v>
      </c>
      <c r="S7" s="5" t="s">
        <v>20</v>
      </c>
      <c r="T7" s="5" t="s">
        <v>22</v>
      </c>
      <c r="U7" s="16" t="s">
        <v>21</v>
      </c>
      <c r="V7" s="57" t="s">
        <v>67</v>
      </c>
      <c r="W7" s="51" t="s">
        <v>68</v>
      </c>
      <c r="X7" s="1"/>
      <c r="Y7" s="1"/>
      <c r="Z7" s="1"/>
      <c r="AA7" s="1"/>
      <c r="AB7" s="1"/>
    </row>
    <row r="8" spans="1:23" ht="15" customHeight="1">
      <c r="A8" s="41" t="s">
        <v>28</v>
      </c>
      <c r="B8" s="31" t="s">
        <v>1</v>
      </c>
      <c r="C8" s="70">
        <v>3944.16</v>
      </c>
      <c r="D8" s="76">
        <v>15776.64</v>
      </c>
      <c r="E8" s="71">
        <v>15776.64</v>
      </c>
      <c r="F8" s="70">
        <v>16221.52</v>
      </c>
      <c r="G8" s="71">
        <v>17248.23</v>
      </c>
      <c r="H8" s="70">
        <v>17260.68</v>
      </c>
      <c r="I8" s="70">
        <v>17260.68</v>
      </c>
      <c r="J8" s="7">
        <v>1438.39</v>
      </c>
      <c r="K8" s="8">
        <v>1438.39</v>
      </c>
      <c r="L8" s="8">
        <v>1438.39</v>
      </c>
      <c r="M8" s="8">
        <v>1438.39</v>
      </c>
      <c r="N8" s="8">
        <v>1438.39</v>
      </c>
      <c r="O8" s="8">
        <v>1438.39</v>
      </c>
      <c r="P8" s="8">
        <v>1438.39</v>
      </c>
      <c r="Q8" s="8">
        <v>1438.39</v>
      </c>
      <c r="R8" s="8">
        <v>1438.39</v>
      </c>
      <c r="S8" s="8">
        <v>1438.39</v>
      </c>
      <c r="T8" s="8">
        <v>1438.39</v>
      </c>
      <c r="U8" s="17">
        <v>1438.39</v>
      </c>
      <c r="V8" s="63">
        <f>SUM(J8:U8)</f>
        <v>17260.679999999997</v>
      </c>
      <c r="W8" s="65">
        <f>SUM(C8:U8)</f>
        <v>120749.22999999998</v>
      </c>
    </row>
    <row r="9" spans="1:23" ht="18.75" customHeight="1">
      <c r="A9" s="41" t="s">
        <v>29</v>
      </c>
      <c r="B9" s="32" t="s">
        <v>2</v>
      </c>
      <c r="C9" s="72">
        <v>2643.05</v>
      </c>
      <c r="D9" s="77">
        <v>15434.35</v>
      </c>
      <c r="E9" s="72">
        <v>16105.32</v>
      </c>
      <c r="F9" s="72">
        <v>15781.62</v>
      </c>
      <c r="G9" s="72">
        <v>17235.78</v>
      </c>
      <c r="H9" s="72">
        <v>17589.36</v>
      </c>
      <c r="I9" s="72">
        <v>16932</v>
      </c>
      <c r="J9" s="9">
        <v>1767.07</v>
      </c>
      <c r="K9" s="10">
        <v>1097.26</v>
      </c>
      <c r="L9" s="10">
        <v>1779.52</v>
      </c>
      <c r="M9" s="10">
        <v>1097.26</v>
      </c>
      <c r="N9" s="10">
        <v>1779.52</v>
      </c>
      <c r="O9" s="10">
        <v>1097.26</v>
      </c>
      <c r="P9" s="10">
        <v>1779.52</v>
      </c>
      <c r="Q9" s="10">
        <v>1438.39</v>
      </c>
      <c r="R9" s="10">
        <v>1109.71</v>
      </c>
      <c r="S9" s="10">
        <v>1438.39</v>
      </c>
      <c r="T9" s="10">
        <v>1767.07</v>
      </c>
      <c r="U9" s="18">
        <v>1109.71</v>
      </c>
      <c r="V9" s="58">
        <f>SUM(J9:U9)</f>
        <v>17260.68</v>
      </c>
      <c r="W9" s="28">
        <f>SUM(C9:U9)</f>
        <v>118982.16000000002</v>
      </c>
    </row>
    <row r="10" spans="1:23" ht="16.5" customHeight="1" thickBot="1">
      <c r="A10" s="41" t="s">
        <v>30</v>
      </c>
      <c r="B10" s="33" t="s">
        <v>56</v>
      </c>
      <c r="C10" s="59">
        <f aca="true" t="shared" si="0" ref="C10:J10">SUM(C9/C8*100)</f>
        <v>67.01173380390249</v>
      </c>
      <c r="D10" s="50">
        <f t="shared" si="0"/>
        <v>97.83039988235772</v>
      </c>
      <c r="E10" s="59">
        <f t="shared" si="0"/>
        <v>102.08333333333333</v>
      </c>
      <c r="F10" s="59">
        <f t="shared" si="0"/>
        <v>97.28817028243962</v>
      </c>
      <c r="G10" s="59">
        <f t="shared" si="0"/>
        <v>99.92781868052548</v>
      </c>
      <c r="H10" s="59">
        <f>SUM(H9/H8*100)</f>
        <v>101.90421234852856</v>
      </c>
      <c r="I10" s="59">
        <f>SUM(I9/I8*100)</f>
        <v>98.09578765147144</v>
      </c>
      <c r="J10" s="22">
        <f t="shared" si="0"/>
        <v>122.85054818234275</v>
      </c>
      <c r="K10" s="22">
        <f aca="true" t="shared" si="1" ref="K10:U10">SUM(K9/K8*100)</f>
        <v>76.28390075014426</v>
      </c>
      <c r="L10" s="22">
        <f t="shared" si="1"/>
        <v>123.71609924985574</v>
      </c>
      <c r="M10" s="22">
        <f t="shared" si="1"/>
        <v>76.28390075014426</v>
      </c>
      <c r="N10" s="22">
        <f t="shared" si="1"/>
        <v>123.71609924985574</v>
      </c>
      <c r="O10" s="22">
        <f t="shared" si="1"/>
        <v>76.28390075014426</v>
      </c>
      <c r="P10" s="22">
        <f t="shared" si="1"/>
        <v>123.71609924985574</v>
      </c>
      <c r="Q10" s="22">
        <f t="shared" si="1"/>
        <v>100</v>
      </c>
      <c r="R10" s="22">
        <f t="shared" si="1"/>
        <v>77.14945181765725</v>
      </c>
      <c r="S10" s="22">
        <f t="shared" si="1"/>
        <v>100</v>
      </c>
      <c r="T10" s="22">
        <f t="shared" si="1"/>
        <v>122.85054818234275</v>
      </c>
      <c r="U10" s="50">
        <f t="shared" si="1"/>
        <v>77.14945181765725</v>
      </c>
      <c r="V10" s="64">
        <f>SUM(V9/V8*100)</f>
        <v>100.00000000000003</v>
      </c>
      <c r="W10" s="64">
        <f>SUM(W9/W8*100)</f>
        <v>98.53657865975629</v>
      </c>
    </row>
    <row r="11" spans="1:23" ht="13.5" thickBot="1">
      <c r="A11" s="41" t="s">
        <v>31</v>
      </c>
      <c r="B11" s="34" t="s">
        <v>3</v>
      </c>
      <c r="C11" s="61">
        <f aca="true" t="shared" si="2" ref="C11:J11">SUM(C12:C20)</f>
        <v>2087.7000000000003</v>
      </c>
      <c r="D11" s="19">
        <f t="shared" si="2"/>
        <v>14608.779999999999</v>
      </c>
      <c r="E11" s="61">
        <f t="shared" si="2"/>
        <v>14178.86</v>
      </c>
      <c r="F11" s="61">
        <f t="shared" si="2"/>
        <v>18388.430000000004</v>
      </c>
      <c r="G11" s="61">
        <f t="shared" si="2"/>
        <v>16010.23</v>
      </c>
      <c r="H11" s="61">
        <f>SUM(H12:H20)</f>
        <v>9981.94</v>
      </c>
      <c r="I11" s="61">
        <f>SUM(I12:I20)</f>
        <v>15228.77</v>
      </c>
      <c r="J11" s="13">
        <f t="shared" si="2"/>
        <v>1105.69</v>
      </c>
      <c r="K11" s="13">
        <f aca="true" t="shared" si="3" ref="K11:U11">SUM(K12:K20)</f>
        <v>998.76</v>
      </c>
      <c r="L11" s="13">
        <f t="shared" si="3"/>
        <v>1278.8400000000001</v>
      </c>
      <c r="M11" s="13">
        <f t="shared" si="3"/>
        <v>1062.32</v>
      </c>
      <c r="N11" s="13">
        <f t="shared" si="3"/>
        <v>1140.64</v>
      </c>
      <c r="O11" s="13">
        <f t="shared" si="3"/>
        <v>1069.2500000000002</v>
      </c>
      <c r="P11" s="13">
        <f t="shared" si="3"/>
        <v>1177.14</v>
      </c>
      <c r="Q11" s="13">
        <f t="shared" si="3"/>
        <v>1211.74</v>
      </c>
      <c r="R11" s="13">
        <f t="shared" si="3"/>
        <v>1074.62</v>
      </c>
      <c r="S11" s="13">
        <f t="shared" si="3"/>
        <v>1099.97</v>
      </c>
      <c r="T11" s="13">
        <f t="shared" si="3"/>
        <v>1742.2</v>
      </c>
      <c r="U11" s="19">
        <f t="shared" si="3"/>
        <v>1038.99</v>
      </c>
      <c r="V11" s="61">
        <f>SUM(J11:U11)</f>
        <v>14000.16</v>
      </c>
      <c r="W11" s="66">
        <f>SUM(C11:U11)</f>
        <v>104484.87000000001</v>
      </c>
    </row>
    <row r="12" spans="1:23" ht="13.5" thickBot="1">
      <c r="A12" s="41" t="s">
        <v>32</v>
      </c>
      <c r="B12" s="35" t="s">
        <v>5</v>
      </c>
      <c r="C12" s="47">
        <v>15.32</v>
      </c>
      <c r="D12" s="78">
        <v>3295.91</v>
      </c>
      <c r="E12" s="47">
        <v>1999.36</v>
      </c>
      <c r="F12" s="47">
        <v>3404.86</v>
      </c>
      <c r="G12" s="47">
        <v>1926.36</v>
      </c>
      <c r="H12" s="47">
        <v>774.66</v>
      </c>
      <c r="I12" s="47">
        <v>339.01</v>
      </c>
      <c r="J12" s="7">
        <v>4.22</v>
      </c>
      <c r="K12" s="8">
        <v>19.84</v>
      </c>
      <c r="L12" s="8">
        <v>11.65</v>
      </c>
      <c r="M12" s="8">
        <v>36.92</v>
      </c>
      <c r="N12" s="8">
        <v>18.43</v>
      </c>
      <c r="O12" s="8">
        <v>11.26</v>
      </c>
      <c r="P12" s="8">
        <v>17.75</v>
      </c>
      <c r="Q12" s="8">
        <v>20.63</v>
      </c>
      <c r="R12" s="8">
        <v>21.34</v>
      </c>
      <c r="S12" s="8">
        <v>22.19</v>
      </c>
      <c r="T12" s="8">
        <v>19.39</v>
      </c>
      <c r="U12" s="17">
        <v>19.43</v>
      </c>
      <c r="V12" s="61">
        <f aca="true" t="shared" si="4" ref="V12:V22">SUM(J12:U12)</f>
        <v>223.05</v>
      </c>
      <c r="W12" s="66">
        <f aca="true" t="shared" si="5" ref="W12:W20">SUM(C12:U12)</f>
        <v>11978.53</v>
      </c>
    </row>
    <row r="13" spans="1:23" ht="14.25" customHeight="1" thickBot="1">
      <c r="A13" s="41" t="s">
        <v>33</v>
      </c>
      <c r="B13" s="36" t="s">
        <v>61</v>
      </c>
      <c r="C13" s="48">
        <v>29.14</v>
      </c>
      <c r="D13" s="79">
        <v>1594.57</v>
      </c>
      <c r="E13" s="48">
        <v>851.58</v>
      </c>
      <c r="F13" s="48">
        <v>3163.22</v>
      </c>
      <c r="G13" s="48">
        <v>1907</v>
      </c>
      <c r="H13" s="48">
        <v>3727.63</v>
      </c>
      <c r="I13" s="48">
        <v>1081.38</v>
      </c>
      <c r="J13" s="9"/>
      <c r="K13" s="10"/>
      <c r="L13" s="10">
        <v>197.84</v>
      </c>
      <c r="M13" s="10"/>
      <c r="N13" s="10"/>
      <c r="O13" s="10"/>
      <c r="P13" s="10"/>
      <c r="Q13" s="10"/>
      <c r="R13" s="10"/>
      <c r="S13" s="10"/>
      <c r="T13" s="10">
        <v>600</v>
      </c>
      <c r="U13" s="18"/>
      <c r="V13" s="61">
        <f t="shared" si="4"/>
        <v>797.84</v>
      </c>
      <c r="W13" s="66">
        <f t="shared" si="5"/>
        <v>13152.36</v>
      </c>
    </row>
    <row r="14" spans="1:23" ht="18" customHeight="1" thickBot="1">
      <c r="A14" s="41" t="s">
        <v>34</v>
      </c>
      <c r="B14" s="36" t="s">
        <v>60</v>
      </c>
      <c r="C14" s="48">
        <v>22</v>
      </c>
      <c r="D14" s="79">
        <v>309.38</v>
      </c>
      <c r="E14" s="48">
        <v>116.03</v>
      </c>
      <c r="F14" s="48">
        <v>0</v>
      </c>
      <c r="G14" s="48">
        <v>96.58</v>
      </c>
      <c r="H14" s="48">
        <v>152.23</v>
      </c>
      <c r="I14" s="48">
        <v>915.86</v>
      </c>
      <c r="J14" s="9"/>
      <c r="K14" s="10"/>
      <c r="L14" s="10"/>
      <c r="M14" s="10"/>
      <c r="N14" s="10"/>
      <c r="O14" s="10"/>
      <c r="P14" s="10"/>
      <c r="Q14" s="10">
        <v>95</v>
      </c>
      <c r="R14" s="10"/>
      <c r="S14" s="10"/>
      <c r="T14" s="10"/>
      <c r="U14" s="18"/>
      <c r="V14" s="61">
        <f t="shared" si="4"/>
        <v>95</v>
      </c>
      <c r="W14" s="66">
        <f t="shared" si="5"/>
        <v>1707.08</v>
      </c>
    </row>
    <row r="15" spans="1:23" ht="23.25" customHeight="1" thickBot="1">
      <c r="A15" s="41" t="s">
        <v>35</v>
      </c>
      <c r="B15" s="36" t="s">
        <v>52</v>
      </c>
      <c r="C15" s="48">
        <v>121</v>
      </c>
      <c r="D15" s="79">
        <v>0</v>
      </c>
      <c r="E15" s="48">
        <v>256</v>
      </c>
      <c r="F15" s="48">
        <v>0</v>
      </c>
      <c r="G15" s="48">
        <v>4.36</v>
      </c>
      <c r="H15" s="48">
        <v>0</v>
      </c>
      <c r="I15" s="48">
        <v>51</v>
      </c>
      <c r="J15" s="9">
        <v>8</v>
      </c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8"/>
      <c r="V15" s="61">
        <f t="shared" si="4"/>
        <v>8</v>
      </c>
      <c r="W15" s="66">
        <f t="shared" si="5"/>
        <v>440.36</v>
      </c>
    </row>
    <row r="16" spans="1:23" ht="37.5" customHeight="1" thickBot="1">
      <c r="A16" s="41" t="s">
        <v>36</v>
      </c>
      <c r="B16" s="36" t="s">
        <v>62</v>
      </c>
      <c r="C16" s="48">
        <v>125.19</v>
      </c>
      <c r="D16" s="79">
        <v>769.13</v>
      </c>
      <c r="E16" s="48">
        <v>1294.2</v>
      </c>
      <c r="F16" s="48">
        <v>1343.98</v>
      </c>
      <c r="G16" s="48">
        <v>705.81</v>
      </c>
      <c r="H16" s="48">
        <v>832.88</v>
      </c>
      <c r="I16" s="48">
        <v>880.75</v>
      </c>
      <c r="J16" s="9">
        <v>74.57</v>
      </c>
      <c r="K16" s="10">
        <v>69.73</v>
      </c>
      <c r="L16" s="10">
        <v>86.68</v>
      </c>
      <c r="M16" s="10">
        <v>64.42</v>
      </c>
      <c r="N16" s="10">
        <v>66.61</v>
      </c>
      <c r="O16" s="10">
        <v>77.15</v>
      </c>
      <c r="P16" s="10">
        <v>62.53</v>
      </c>
      <c r="Q16" s="10">
        <v>72.33</v>
      </c>
      <c r="R16" s="10">
        <v>68.03</v>
      </c>
      <c r="S16" s="10">
        <v>86.8</v>
      </c>
      <c r="T16" s="10">
        <v>89.78</v>
      </c>
      <c r="U16" s="18">
        <v>74.19</v>
      </c>
      <c r="V16" s="61">
        <f t="shared" si="4"/>
        <v>892.8199999999999</v>
      </c>
      <c r="W16" s="66">
        <f t="shared" si="5"/>
        <v>6844.7599999999975</v>
      </c>
    </row>
    <row r="17" spans="1:23" ht="36.75" customHeight="1" thickBot="1">
      <c r="A17" s="41" t="s">
        <v>37</v>
      </c>
      <c r="B17" s="36" t="s">
        <v>63</v>
      </c>
      <c r="C17" s="48">
        <v>176.06</v>
      </c>
      <c r="D17" s="79">
        <v>418.7</v>
      </c>
      <c r="E17" s="48">
        <v>125.57</v>
      </c>
      <c r="F17" s="48">
        <v>92.08</v>
      </c>
      <c r="G17" s="48">
        <v>212.38</v>
      </c>
      <c r="H17" s="48">
        <v>143.53</v>
      </c>
      <c r="I17" s="48">
        <v>125.3</v>
      </c>
      <c r="J17" s="9">
        <v>16.39</v>
      </c>
      <c r="K17" s="10">
        <v>5.04</v>
      </c>
      <c r="L17" s="10">
        <v>5.41</v>
      </c>
      <c r="M17" s="10">
        <v>5.01</v>
      </c>
      <c r="N17" s="10">
        <v>4.86</v>
      </c>
      <c r="O17" s="10">
        <v>7.55</v>
      </c>
      <c r="P17" s="10">
        <v>7.09</v>
      </c>
      <c r="Q17" s="10">
        <v>21.84</v>
      </c>
      <c r="R17" s="10">
        <v>5.1</v>
      </c>
      <c r="S17" s="10">
        <v>7.54</v>
      </c>
      <c r="T17" s="10">
        <v>5.1</v>
      </c>
      <c r="U17" s="18">
        <v>6.95</v>
      </c>
      <c r="V17" s="61">
        <f t="shared" si="4"/>
        <v>97.88</v>
      </c>
      <c r="W17" s="66">
        <f t="shared" si="5"/>
        <v>1391.4999999999995</v>
      </c>
    </row>
    <row r="18" spans="1:23" ht="33" customHeight="1" thickBot="1">
      <c r="A18" s="41" t="s">
        <v>38</v>
      </c>
      <c r="B18" s="36" t="s">
        <v>64</v>
      </c>
      <c r="C18" s="48">
        <v>18.57</v>
      </c>
      <c r="D18" s="79">
        <v>691.77</v>
      </c>
      <c r="E18" s="48">
        <v>652.83</v>
      </c>
      <c r="F18" s="48">
        <v>900.12</v>
      </c>
      <c r="G18" s="48">
        <v>822.98</v>
      </c>
      <c r="H18" s="48">
        <v>1076.9</v>
      </c>
      <c r="I18" s="48">
        <v>916.48</v>
      </c>
      <c r="J18" s="9">
        <f>3.29+22.89+37.47</f>
        <v>63.65</v>
      </c>
      <c r="K18" s="10">
        <f>3.27+27.13+22.98</f>
        <v>53.379999999999995</v>
      </c>
      <c r="L18" s="10">
        <f>3.22+30.15+40.36</f>
        <v>73.72999999999999</v>
      </c>
      <c r="M18" s="10">
        <f>3.04+27.64+38.85</f>
        <v>69.53</v>
      </c>
      <c r="N18" s="10">
        <f>3.13+33.51+95.03</f>
        <v>131.67000000000002</v>
      </c>
      <c r="O18" s="10">
        <f>46.17+3.67+27.44</f>
        <v>77.28</v>
      </c>
      <c r="P18" s="10">
        <f>4.01+24.15+43.12</f>
        <v>71.28</v>
      </c>
      <c r="Q18" s="10">
        <f>4.35+22.29+51.4</f>
        <v>78.03999999999999</v>
      </c>
      <c r="R18" s="10">
        <f>44.12+3.5+28.26</f>
        <v>75.88</v>
      </c>
      <c r="S18" s="10">
        <f>4.49+31.94+46.6</f>
        <v>83.03</v>
      </c>
      <c r="T18" s="10">
        <f>4.12+37.22+73.55</f>
        <v>114.88999999999999</v>
      </c>
      <c r="U18" s="18">
        <f>4.25+37.5+31.21</f>
        <v>72.96000000000001</v>
      </c>
      <c r="V18" s="61">
        <f t="shared" si="4"/>
        <v>965.3199999999999</v>
      </c>
      <c r="W18" s="66">
        <f t="shared" si="5"/>
        <v>6044.969999999998</v>
      </c>
    </row>
    <row r="19" spans="1:23" ht="18.75" customHeight="1" thickBot="1">
      <c r="A19" s="41" t="s">
        <v>53</v>
      </c>
      <c r="B19" s="36" t="s">
        <v>9</v>
      </c>
      <c r="C19" s="48">
        <v>1474.38</v>
      </c>
      <c r="D19" s="79">
        <v>6502.62</v>
      </c>
      <c r="E19" s="48">
        <v>8200.03</v>
      </c>
      <c r="F19" s="48">
        <v>8888.29</v>
      </c>
      <c r="G19" s="48">
        <v>9683.98</v>
      </c>
      <c r="H19" s="48">
        <v>2609.96</v>
      </c>
      <c r="I19" s="48">
        <v>10279.68</v>
      </c>
      <c r="J19" s="9">
        <f>1105.69-233.55</f>
        <v>872.1400000000001</v>
      </c>
      <c r="K19" s="10">
        <f>998.76-189.42</f>
        <v>809.34</v>
      </c>
      <c r="L19" s="10">
        <f>1278.84-442.5</f>
        <v>836.3399999999999</v>
      </c>
      <c r="M19" s="10">
        <f>1062.32-217.31</f>
        <v>845.01</v>
      </c>
      <c r="N19" s="10">
        <f>1140.64-288.76</f>
        <v>851.8800000000001</v>
      </c>
      <c r="O19" s="10">
        <f>1069.25-214.67</f>
        <v>854.58</v>
      </c>
      <c r="P19" s="10">
        <f>1177.14-225.84</f>
        <v>951.3000000000001</v>
      </c>
      <c r="Q19" s="10">
        <f>1211.74-342.15</f>
        <v>869.59</v>
      </c>
      <c r="R19" s="10">
        <f>1074.62-212.25</f>
        <v>862.3699999999999</v>
      </c>
      <c r="S19" s="10">
        <f>1099.97-253.87</f>
        <v>846.1</v>
      </c>
      <c r="T19" s="10">
        <f>1742.2-895.88</f>
        <v>846.32</v>
      </c>
      <c r="U19" s="18">
        <f>1038.99-215.43</f>
        <v>823.56</v>
      </c>
      <c r="V19" s="61">
        <f t="shared" si="4"/>
        <v>10268.529999999999</v>
      </c>
      <c r="W19" s="66">
        <f t="shared" si="5"/>
        <v>57907.469999999994</v>
      </c>
    </row>
    <row r="20" spans="1:23" ht="17.25" customHeight="1" thickBot="1">
      <c r="A20" s="41" t="s">
        <v>54</v>
      </c>
      <c r="B20" s="37" t="s">
        <v>4</v>
      </c>
      <c r="C20" s="49">
        <v>106.04</v>
      </c>
      <c r="D20" s="80">
        <v>1026.7</v>
      </c>
      <c r="E20" s="49">
        <v>683.26</v>
      </c>
      <c r="F20" s="49">
        <v>595.88</v>
      </c>
      <c r="G20" s="49">
        <v>650.78</v>
      </c>
      <c r="H20" s="49">
        <v>664.15</v>
      </c>
      <c r="I20" s="49">
        <v>639.31</v>
      </c>
      <c r="J20" s="11">
        <v>66.72</v>
      </c>
      <c r="K20" s="12">
        <v>41.43</v>
      </c>
      <c r="L20" s="12">
        <v>67.19</v>
      </c>
      <c r="M20" s="12">
        <v>41.43</v>
      </c>
      <c r="N20" s="12">
        <v>67.19</v>
      </c>
      <c r="O20" s="12">
        <v>41.43</v>
      </c>
      <c r="P20" s="12">
        <v>67.19</v>
      </c>
      <c r="Q20" s="12">
        <v>54.31</v>
      </c>
      <c r="R20" s="12">
        <v>41.9</v>
      </c>
      <c r="S20" s="12">
        <v>54.31</v>
      </c>
      <c r="T20" s="12">
        <v>66.72</v>
      </c>
      <c r="U20" s="20">
        <v>41.9</v>
      </c>
      <c r="V20" s="61">
        <f t="shared" si="4"/>
        <v>651.72</v>
      </c>
      <c r="W20" s="66">
        <f t="shared" si="5"/>
        <v>5017.84</v>
      </c>
    </row>
    <row r="21" spans="1:23" ht="17.25" customHeight="1" thickBot="1">
      <c r="A21" s="41"/>
      <c r="B21" s="44" t="s">
        <v>58</v>
      </c>
      <c r="C21" s="82"/>
      <c r="D21" s="83"/>
      <c r="E21" s="82"/>
      <c r="F21" s="82"/>
      <c r="G21" s="84">
        <f>G8*5%</f>
        <v>862.4115</v>
      </c>
      <c r="H21" s="84">
        <f>H8*5%</f>
        <v>863.0340000000001</v>
      </c>
      <c r="I21" s="84">
        <f>I8*5%</f>
        <v>863.0340000000001</v>
      </c>
      <c r="J21" s="84">
        <f>J8*5%</f>
        <v>71.91950000000001</v>
      </c>
      <c r="K21" s="84">
        <f aca="true" t="shared" si="6" ref="K21:U21">K8*5%</f>
        <v>71.91950000000001</v>
      </c>
      <c r="L21" s="84">
        <f t="shared" si="6"/>
        <v>71.91950000000001</v>
      </c>
      <c r="M21" s="84">
        <f t="shared" si="6"/>
        <v>71.91950000000001</v>
      </c>
      <c r="N21" s="84">
        <f t="shared" si="6"/>
        <v>71.91950000000001</v>
      </c>
      <c r="O21" s="84">
        <f t="shared" si="6"/>
        <v>71.91950000000001</v>
      </c>
      <c r="P21" s="84">
        <f t="shared" si="6"/>
        <v>71.91950000000001</v>
      </c>
      <c r="Q21" s="84">
        <f t="shared" si="6"/>
        <v>71.91950000000001</v>
      </c>
      <c r="R21" s="84">
        <f t="shared" si="6"/>
        <v>71.91950000000001</v>
      </c>
      <c r="S21" s="84">
        <f t="shared" si="6"/>
        <v>71.91950000000001</v>
      </c>
      <c r="T21" s="84">
        <f t="shared" si="6"/>
        <v>71.91950000000001</v>
      </c>
      <c r="U21" s="84">
        <f t="shared" si="6"/>
        <v>71.91950000000001</v>
      </c>
      <c r="V21" s="85">
        <f t="shared" si="4"/>
        <v>863.034</v>
      </c>
      <c r="W21" s="69"/>
    </row>
    <row r="22" spans="1:23" ht="15" customHeight="1" thickBot="1">
      <c r="A22" s="91" t="s">
        <v>39</v>
      </c>
      <c r="B22" s="67" t="s">
        <v>49</v>
      </c>
      <c r="C22" s="68"/>
      <c r="D22" s="81"/>
      <c r="E22" s="68"/>
      <c r="F22" s="68"/>
      <c r="G22" s="68"/>
      <c r="H22" s="68"/>
      <c r="I22" s="68"/>
      <c r="J22" s="86">
        <f>SUM(J8-J11)-J21</f>
        <v>260.7805</v>
      </c>
      <c r="K22" s="86">
        <f aca="true" t="shared" si="7" ref="K22:U22">SUM(K8-K11)-K21</f>
        <v>367.7105000000001</v>
      </c>
      <c r="L22" s="86">
        <f t="shared" si="7"/>
        <v>87.63049999999994</v>
      </c>
      <c r="M22" s="86">
        <f t="shared" si="7"/>
        <v>304.15050000000014</v>
      </c>
      <c r="N22" s="86">
        <f t="shared" si="7"/>
        <v>225.83049999999997</v>
      </c>
      <c r="O22" s="86">
        <f t="shared" si="7"/>
        <v>297.22049999999984</v>
      </c>
      <c r="P22" s="86">
        <f t="shared" si="7"/>
        <v>189.33049999999997</v>
      </c>
      <c r="Q22" s="86">
        <f t="shared" si="7"/>
        <v>154.73050000000006</v>
      </c>
      <c r="R22" s="86">
        <f t="shared" si="7"/>
        <v>291.8505000000002</v>
      </c>
      <c r="S22" s="86">
        <f t="shared" si="7"/>
        <v>266.50050000000005</v>
      </c>
      <c r="T22" s="86">
        <f t="shared" si="7"/>
        <v>-375.7295</v>
      </c>
      <c r="U22" s="86">
        <f t="shared" si="7"/>
        <v>327.48050000000006</v>
      </c>
      <c r="V22" s="92">
        <f t="shared" si="4"/>
        <v>2397.486000000001</v>
      </c>
      <c r="W22" s="69"/>
    </row>
    <row r="23" spans="1:23" ht="25.5" customHeight="1" thickBot="1">
      <c r="A23" s="98" t="s">
        <v>40</v>
      </c>
      <c r="B23" s="99" t="s">
        <v>23</v>
      </c>
      <c r="C23" s="44">
        <v>1856.46</v>
      </c>
      <c r="D23" s="19">
        <f>SUM(D8-D11)</f>
        <v>1167.8600000000006</v>
      </c>
      <c r="E23" s="61">
        <f>SUM(E8-E11)</f>
        <v>1597.7799999999988</v>
      </c>
      <c r="F23" s="61">
        <f>SUM(F8-F11)</f>
        <v>-2166.9100000000035</v>
      </c>
      <c r="G23" s="85">
        <f>SUM(G8-G11)-G21</f>
        <v>375.58849999999995</v>
      </c>
      <c r="H23" s="85">
        <f>SUM(H8-H11)-H21</f>
        <v>6415.706</v>
      </c>
      <c r="I23" s="85">
        <f>SUM(I8-I11)-I21</f>
        <v>1168.8759999999997</v>
      </c>
      <c r="J23" s="100">
        <f>SUM(J8-J11)-J21</f>
        <v>260.7805</v>
      </c>
      <c r="K23" s="87">
        <f>SUM(K22+J23)</f>
        <v>628.4910000000001</v>
      </c>
      <c r="L23" s="87">
        <f aca="true" t="shared" si="8" ref="L23:U23">SUM(L22+K23)</f>
        <v>716.1215000000001</v>
      </c>
      <c r="M23" s="87">
        <f t="shared" si="8"/>
        <v>1020.2720000000002</v>
      </c>
      <c r="N23" s="87">
        <f t="shared" si="8"/>
        <v>1246.1025000000002</v>
      </c>
      <c r="O23" s="87">
        <f t="shared" si="8"/>
        <v>1543.323</v>
      </c>
      <c r="P23" s="87">
        <f t="shared" si="8"/>
        <v>1732.6535000000001</v>
      </c>
      <c r="Q23" s="87">
        <f t="shared" si="8"/>
        <v>1887.3840000000002</v>
      </c>
      <c r="R23" s="87">
        <f t="shared" si="8"/>
        <v>2179.2345000000005</v>
      </c>
      <c r="S23" s="87">
        <f t="shared" si="8"/>
        <v>2445.7350000000006</v>
      </c>
      <c r="T23" s="87">
        <f t="shared" si="8"/>
        <v>2070.0055000000007</v>
      </c>
      <c r="U23" s="87">
        <f t="shared" si="8"/>
        <v>2397.486000000001</v>
      </c>
      <c r="V23" s="61"/>
      <c r="W23" s="52"/>
    </row>
    <row r="24" spans="1:23" ht="21" customHeight="1" hidden="1" thickBot="1">
      <c r="A24" s="93" t="s">
        <v>41</v>
      </c>
      <c r="B24" s="45" t="s">
        <v>24</v>
      </c>
      <c r="C24" s="45">
        <v>1856.46</v>
      </c>
      <c r="D24" s="94">
        <f>SUM(D8-D11,C24)</f>
        <v>3024.3200000000006</v>
      </c>
      <c r="E24" s="95">
        <f>SUM(E8-E11,D24)</f>
        <v>4622.099999999999</v>
      </c>
      <c r="F24" s="95">
        <f>SUM(F8-F11,E24)</f>
        <v>2455.189999999996</v>
      </c>
      <c r="G24" s="96">
        <f>SUM(G23+F24)</f>
        <v>2830.778499999996</v>
      </c>
      <c r="H24" s="96">
        <f>SUM(H23+G24)</f>
        <v>9246.484499999995</v>
      </c>
      <c r="I24" s="96">
        <f>SUM(I23+H24)</f>
        <v>10415.360499999995</v>
      </c>
      <c r="J24" s="96">
        <f>SUM(J23+I24)</f>
        <v>10676.140999999996</v>
      </c>
      <c r="K24" s="97">
        <f>SUM(K22+J24)</f>
        <v>11043.851499999995</v>
      </c>
      <c r="L24" s="97">
        <f aca="true" t="shared" si="9" ref="L24:T24">SUM(L22+K24)</f>
        <v>11131.481999999995</v>
      </c>
      <c r="M24" s="97">
        <f t="shared" si="9"/>
        <v>11435.632499999994</v>
      </c>
      <c r="N24" s="97">
        <f t="shared" si="9"/>
        <v>11661.462999999994</v>
      </c>
      <c r="O24" s="97">
        <f t="shared" si="9"/>
        <v>11958.683499999994</v>
      </c>
      <c r="P24" s="97">
        <f t="shared" si="9"/>
        <v>12148.013999999994</v>
      </c>
      <c r="Q24" s="97">
        <f t="shared" si="9"/>
        <v>12302.744499999993</v>
      </c>
      <c r="R24" s="97">
        <f t="shared" si="9"/>
        <v>12594.594999999994</v>
      </c>
      <c r="S24" s="97">
        <f t="shared" si="9"/>
        <v>12861.095499999994</v>
      </c>
      <c r="T24" s="97">
        <f t="shared" si="9"/>
        <v>12485.365999999995</v>
      </c>
      <c r="U24" s="97">
        <f>SUM(U22+T24)-0.01</f>
        <v>12812.836499999994</v>
      </c>
      <c r="V24" s="95"/>
      <c r="W24" s="53"/>
    </row>
    <row r="25" spans="1:23" ht="8.25" customHeight="1" hidden="1" thickBot="1">
      <c r="A25" s="41" t="s">
        <v>41</v>
      </c>
      <c r="B25" s="44" t="s">
        <v>7</v>
      </c>
      <c r="C25" s="45"/>
      <c r="D25" s="45"/>
      <c r="E25" s="73"/>
      <c r="F25" s="73"/>
      <c r="G25" s="73"/>
      <c r="H25" s="73"/>
      <c r="I25" s="73"/>
      <c r="J25" s="14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21"/>
      <c r="V25" s="60"/>
      <c r="W25" s="54"/>
    </row>
    <row r="26" spans="1:23" ht="15" customHeight="1" hidden="1" thickBot="1">
      <c r="A26" s="41" t="s">
        <v>42</v>
      </c>
      <c r="B26" s="38" t="s">
        <v>25</v>
      </c>
      <c r="C26" s="45"/>
      <c r="D26" s="45"/>
      <c r="E26" s="73"/>
      <c r="F26" s="73"/>
      <c r="G26" s="73"/>
      <c r="H26" s="73"/>
      <c r="I26" s="73"/>
      <c r="J26" s="14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21"/>
      <c r="V26" s="61"/>
      <c r="W26" s="55"/>
    </row>
    <row r="27" spans="1:23" ht="24" customHeight="1" hidden="1" thickBot="1">
      <c r="A27" s="42" t="s">
        <v>43</v>
      </c>
      <c r="B27" s="39" t="s">
        <v>46</v>
      </c>
      <c r="C27" s="46"/>
      <c r="D27" s="46"/>
      <c r="E27" s="74"/>
      <c r="F27" s="74"/>
      <c r="G27" s="74"/>
      <c r="H27" s="74"/>
      <c r="I27" s="74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>
        <f>SUM(U23-U25)</f>
        <v>2397.486000000001</v>
      </c>
      <c r="V27" s="62"/>
      <c r="W27" s="56"/>
    </row>
    <row r="28" spans="1:23" ht="22.5" customHeight="1" hidden="1" thickBot="1">
      <c r="A28" s="42" t="s">
        <v>45</v>
      </c>
      <c r="B28" s="39" t="s">
        <v>26</v>
      </c>
      <c r="C28" s="46"/>
      <c r="D28" s="46"/>
      <c r="E28" s="74"/>
      <c r="F28" s="74"/>
      <c r="G28" s="74"/>
      <c r="H28" s="74"/>
      <c r="I28" s="74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7">
        <f>SUM(U24-U25)</f>
        <v>12812.836499999994</v>
      </c>
      <c r="V28" s="62"/>
      <c r="W28" s="56"/>
    </row>
    <row r="29" spans="3:23" ht="24" customHeight="1" hidden="1"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5"/>
    </row>
    <row r="31" ht="12.75" hidden="1"/>
    <row r="32" ht="12.75" hidden="1"/>
    <row r="33" ht="12.75" hidden="1"/>
    <row r="34" ht="12.75">
      <c r="B34" t="s">
        <v>65</v>
      </c>
    </row>
    <row r="38" ht="12.75" customHeight="1"/>
    <row r="39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2018-02-07T10:50:17Z</cp:lastPrinted>
  <dcterms:created xsi:type="dcterms:W3CDTF">2011-06-16T11:06:26Z</dcterms:created>
  <dcterms:modified xsi:type="dcterms:W3CDTF">2018-02-12T07:50:34Z</dcterms:modified>
  <cp:category/>
  <cp:version/>
  <cp:contentType/>
  <cp:contentStatus/>
</cp:coreProperties>
</file>