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<sst xmlns="http://schemas.openxmlformats.org/spreadsheetml/2006/main" count="79" uniqueCount="78">
  <si>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</si>
  <si>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</si>
  <si>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</si>
  <si>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</si>
  <si>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</si>
  <si>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</si>
  <si>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</si>
  <si>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</si>
  <si>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</si>
  <si>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</si>
  <si>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</si>
  <si>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</si>
  <si>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</si>
  <si>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</si>
  <si>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</si>
  <si>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</si>
  <si>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</si>
  <si>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</si>
  <si>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</si>
  <si>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</si>
  <si>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</si>
  <si>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</si>
  <si>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</si>
  <si>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</si>
  <si>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</si>
  <si>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</si>
  <si>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</si>
  <si>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</si>
  <si>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</si>
  <si>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</si>
  <si>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</si>
  <si>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</si>
  <si>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</si>
  <si>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</si>
  <si>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</si>
  <si>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</si>
  <si>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</si>
  <si>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</si>
  <si>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</si>
  <si>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</si>
  <si>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</si>
  <si>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</si>
  <si>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</si>
  <si>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</si>
  <si>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</si>
  <si>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</si>
  <si>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</si>
  <si>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</si>
  <si>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</si>
  <si>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</si>
  <si>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</si>
  <si>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</si>
  <si>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Нахимова д.6 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</si>
  <si>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</si>
  <si>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</si>
  <si>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</si>
  <si>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</si>
  <si>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</si>
  <si>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</si>
  <si>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 xml:space="preserve">%  оплаты </t>
  </si>
  <si>
    <t>Дом по ул.Нахимова д.6 А вступил в ООО "Наш дом" с апреля 2010 года                                         тариф 9,2 руб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</si>
  <si>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</si>
  <si>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</si>
  <si>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</si>
  <si>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</si>
  <si>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</si>
  <si>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</si>
  <si>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</si>
  <si>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</si>
  <si>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</si>
  <si>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</si>
  <si>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</si>
  <si>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Проверка вент.каналов</t>
  </si>
  <si>
    <t>Итого за 2017 г</t>
  </si>
  <si>
    <t>Всего за  2010-2017</t>
  </si>
  <si>
    <t>Начислено  СОИД</t>
  </si>
  <si>
    <t>Электроэнергия СОИД</t>
  </si>
  <si>
    <t>Горячая вода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</si>
</sst>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0" fillId="0" borderId="39" xfId="0" applyBorder="1" applyAlignment="1">
      <alignment/>
    </xf>
    <xf numFmtId="1" fontId="21" fillId="0" borderId="40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42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6" fillId="0" borderId="4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4" xfId="0" applyFont="1" applyBorder="1" applyAlignment="1">
      <alignment/>
    </xf>
    <xf numFmtId="0" fontId="27" fillId="0" borderId="38" xfId="0" applyFont="1" applyBorder="1" applyAlignment="1">
      <alignment/>
    </xf>
    <xf numFmtId="1" fontId="27" fillId="0" borderId="41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/>
    </xf>
    <xf numFmtId="2" fontId="27" fillId="0" borderId="39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1" xfId="0" applyNumberFormat="1" applyBorder="1" applyAlignment="1">
      <alignment horizontal="center"/>
    </xf>
    <xf numFmtId="2" fontId="21" fillId="0" borderId="39" xfId="0" applyNumberFormat="1" applyFont="1" applyBorder="1" applyAlignment="1">
      <alignment/>
    </xf>
    <xf numFmtId="49" fontId="0" fillId="0" borderId="38" xfId="0" applyNumberFormat="1" applyBorder="1" applyAlignment="1">
      <alignment horizontal="center"/>
    </xf>
    <xf numFmtId="0" fontId="21" fillId="0" borderId="28" xfId="0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49" fontId="0" fillId="0" borderId="26" xfId="0" applyNumberFormat="1" applyBorder="1" applyAlignment="1">
      <alignment horizontal="center"/>
    </xf>
    <xf numFmtId="0" fontId="21" fillId="0" borderId="29" xfId="0" applyFont="1" applyBorder="1" applyAlignment="1">
      <alignment wrapText="1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3">
      <selection activeCell="A29" sqref="A29:V29"/>
    </sheetView>
  </sheetViews>
  <sheetFormatPr defaultColWidth="9.00390625" defaultRowHeight="12.75"/>
  <cols>
    <col min="1" max="1" width="3.375" style="33" customWidth="1"/>
    <col min="2" max="2" width="21.75390625" style="0" customWidth="1"/>
    <col min="3" max="3" width="7.375" style="0" hidden="1" customWidth="1"/>
    <col min="4" max="4" width="7.625" style="0" hidden="1" customWidth="1"/>
    <col min="5" max="5" width="10.25390625" style="0" hidden="1" customWidth="1"/>
    <col min="6" max="6" width="9.25390625" style="0" hidden="1" customWidth="1"/>
    <col min="7" max="7" width="9.75390625" style="0" hidden="1" customWidth="1"/>
    <col min="8" max="8" width="9.375" style="0" hidden="1" customWidth="1"/>
    <col min="9" max="9" width="9.75390625" style="0" hidden="1" customWidth="1"/>
    <col min="10" max="10" width="9.25390625" style="0" customWidth="1"/>
    <col min="11" max="11" width="8.25390625" style="0" customWidth="1"/>
    <col min="12" max="12" width="8.125" style="0" customWidth="1"/>
    <col min="13" max="13" width="8.00390625" style="0" customWidth="1"/>
    <col min="14" max="15" width="8.375" style="0" customWidth="1"/>
    <col min="16" max="16" width="8.25390625" style="0" customWidth="1"/>
    <col min="17" max="17" width="8.875" style="0" customWidth="1"/>
    <col min="18" max="18" width="8.375" style="0" customWidth="1"/>
    <col min="19" max="20" width="8.125" style="0" customWidth="1"/>
    <col min="21" max="21" width="8.875" style="0" customWidth="1"/>
    <col min="22" max="22" width="10.75390625" style="0" customWidth="1"/>
    <col min="23" max="23" width="10.00390625" style="0" hidden="1" customWidth="1"/>
  </cols>
  <sheetData>
    <row r="1" spans="2:28" ht="12.75" customHeight="1">
      <c r="B1" s="89" t="s">
        <v>10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89" t="s">
        <v>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3"/>
      <c r="Y3" s="3"/>
      <c r="Z3" s="3"/>
      <c r="AA3" s="3"/>
      <c r="AB3" s="3"/>
    </row>
    <row r="4" spans="2:28" ht="15" customHeight="1">
      <c r="B4" s="87" t="s">
        <v>12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2"/>
      <c r="Y4" s="2"/>
      <c r="Z4" s="2"/>
      <c r="AA4" s="2"/>
      <c r="AB4" s="2"/>
    </row>
    <row r="5" spans="2:28" ht="16.5" customHeight="1" thickBot="1">
      <c r="B5" s="87" t="s">
        <v>52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31.5" customHeight="1" thickBot="1">
      <c r="A7" s="44" t="s">
        <v>29</v>
      </c>
      <c r="B7" s="34" t="s">
        <v>8</v>
      </c>
      <c r="C7" s="47" t="s">
        <v>49</v>
      </c>
      <c r="D7" s="59" t="s">
        <v>53</v>
      </c>
      <c r="E7" s="59" t="s">
        <v>55</v>
      </c>
      <c r="F7" s="59" t="s">
        <v>61</v>
      </c>
      <c r="G7" s="59" t="s">
        <v>62</v>
      </c>
      <c r="H7" s="59" t="s">
        <v>65</v>
      </c>
      <c r="I7" s="59" t="s">
        <v>71</v>
      </c>
      <c r="J7" s="6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24</v>
      </c>
      <c r="U7" s="16" t="s">
        <v>23</v>
      </c>
      <c r="V7" s="59" t="s">
        <v>73</v>
      </c>
      <c r="W7" s="22" t="s">
        <v>74</v>
      </c>
      <c r="X7" s="1"/>
      <c r="Y7" s="1"/>
      <c r="Z7" s="1"/>
      <c r="AA7" s="1"/>
      <c r="AB7" s="1"/>
    </row>
    <row r="8" spans="1:23" ht="13.5" customHeight="1" thickBot="1">
      <c r="A8" s="45" t="s">
        <v>30</v>
      </c>
      <c r="B8" s="35" t="s">
        <v>1</v>
      </c>
      <c r="C8" s="65">
        <v>52530.16</v>
      </c>
      <c r="D8" s="69">
        <v>70096.36</v>
      </c>
      <c r="E8" s="65">
        <v>70175.76</v>
      </c>
      <c r="F8" s="65">
        <v>69823.4</v>
      </c>
      <c r="G8" s="81">
        <v>69794.88</v>
      </c>
      <c r="H8" s="65">
        <v>69794.88</v>
      </c>
      <c r="I8" s="65">
        <v>69802.24</v>
      </c>
      <c r="J8" s="7">
        <v>5817.16</v>
      </c>
      <c r="K8" s="8">
        <v>5817.16</v>
      </c>
      <c r="L8" s="8">
        <v>5817.16</v>
      </c>
      <c r="M8" s="8">
        <v>5817.16</v>
      </c>
      <c r="N8" s="8">
        <v>5817.16</v>
      </c>
      <c r="O8" s="8">
        <v>5817.16</v>
      </c>
      <c r="P8" s="8">
        <v>5817.16</v>
      </c>
      <c r="Q8" s="8">
        <v>5817.16</v>
      </c>
      <c r="R8" s="8">
        <v>5817.16</v>
      </c>
      <c r="S8" s="8">
        <v>5817.16</v>
      </c>
      <c r="T8" s="8">
        <v>5817.16</v>
      </c>
      <c r="U8" s="17">
        <v>5817.16</v>
      </c>
      <c r="V8" s="60">
        <f>SUM(J8:U8)</f>
        <v>69805.92000000001</v>
      </c>
      <c r="W8" s="82">
        <f>SUM(C8:U8)</f>
        <v>541823.5999999999</v>
      </c>
    </row>
    <row r="9" spans="1:23" ht="13.5" customHeight="1">
      <c r="A9" s="45"/>
      <c r="B9" s="35" t="s">
        <v>75</v>
      </c>
      <c r="C9" s="81"/>
      <c r="D9" s="69"/>
      <c r="E9" s="81"/>
      <c r="F9" s="81"/>
      <c r="G9" s="81"/>
      <c r="H9" s="81"/>
      <c r="I9" s="81"/>
      <c r="J9" s="7">
        <f>367.7+21.07+111.52</f>
        <v>500.28999999999996</v>
      </c>
      <c r="K9" s="8">
        <f>367.57+21.07+111.52</f>
        <v>500.15999999999997</v>
      </c>
      <c r="L9" s="8">
        <f>367.57+21.07+111.52</f>
        <v>500.15999999999997</v>
      </c>
      <c r="M9" s="8">
        <f>367.57+21.07+126.41</f>
        <v>515.05</v>
      </c>
      <c r="N9" s="8">
        <f>367.57+21.07+126.41</f>
        <v>515.05</v>
      </c>
      <c r="O9" s="8">
        <f>1156.69+19.99+22.2+86.89</f>
        <v>1285.7700000000002</v>
      </c>
      <c r="P9" s="8">
        <f>149.99+20.17+22.47+89.9</f>
        <v>282.53000000000003</v>
      </c>
      <c r="Q9" s="8">
        <f>653.28+20.17+22.47+89.9</f>
        <v>785.8199999999999</v>
      </c>
      <c r="R9" s="8">
        <f>653.28+20.17+22.47+89.9</f>
        <v>785.8199999999999</v>
      </c>
      <c r="S9" s="8">
        <f>653.28+20.17+22.47+89.9</f>
        <v>785.8199999999999</v>
      </c>
      <c r="T9" s="8">
        <f>653.28+20.17+22.47+89.9</f>
        <v>785.8199999999999</v>
      </c>
      <c r="U9" s="17">
        <f>653.28+20.17+22.47+89.9</f>
        <v>785.8199999999999</v>
      </c>
      <c r="V9" s="60">
        <f>SUM(J9:U9)</f>
        <v>8028.109999999999</v>
      </c>
      <c r="W9" s="82">
        <f>SUM(C9:U9)</f>
        <v>8028.109999999999</v>
      </c>
    </row>
    <row r="10" spans="1:23" ht="15" customHeight="1">
      <c r="A10" s="45" t="s">
        <v>31</v>
      </c>
      <c r="B10" s="36" t="s">
        <v>2</v>
      </c>
      <c r="C10" s="66">
        <v>46363.04</v>
      </c>
      <c r="D10" s="70">
        <v>69702.41</v>
      </c>
      <c r="E10" s="66">
        <v>66239.94</v>
      </c>
      <c r="F10" s="66">
        <v>66677.29</v>
      </c>
      <c r="G10" s="66">
        <v>76729.58</v>
      </c>
      <c r="H10" s="66">
        <v>68907.94</v>
      </c>
      <c r="I10" s="66">
        <v>71241.12</v>
      </c>
      <c r="J10" s="9">
        <v>5817.16</v>
      </c>
      <c r="K10" s="10">
        <v>6317.45</v>
      </c>
      <c r="L10" s="10">
        <v>5561.23</v>
      </c>
      <c r="M10" s="10">
        <v>6630.85</v>
      </c>
      <c r="N10" s="10">
        <v>6774.77</v>
      </c>
      <c r="O10" s="10">
        <v>5136.42</v>
      </c>
      <c r="P10" s="10">
        <v>8298.72</v>
      </c>
      <c r="Q10" s="10">
        <v>6099.69</v>
      </c>
      <c r="R10" s="10">
        <v>6141.41</v>
      </c>
      <c r="S10" s="10">
        <v>7064.46</v>
      </c>
      <c r="T10" s="10">
        <v>6602.98</v>
      </c>
      <c r="U10" s="18">
        <v>6141.5</v>
      </c>
      <c r="V10" s="60">
        <f>SUM(J10:U10)</f>
        <v>76586.64000000001</v>
      </c>
      <c r="W10" s="83">
        <f>SUM(C10:U10)</f>
        <v>542447.9599999998</v>
      </c>
    </row>
    <row r="11" spans="1:23" ht="13.5" customHeight="1" thickBot="1">
      <c r="A11" s="45" t="s">
        <v>32</v>
      </c>
      <c r="B11" s="37" t="s">
        <v>59</v>
      </c>
      <c r="C11" s="57">
        <f aca="true" t="shared" si="0" ref="C11:J11">SUM(C10/C8*100)</f>
        <v>88.25984919901254</v>
      </c>
      <c r="D11" s="55">
        <f t="shared" si="0"/>
        <v>99.43798793546485</v>
      </c>
      <c r="E11" s="57">
        <f t="shared" si="0"/>
        <v>94.39148218701159</v>
      </c>
      <c r="F11" s="57">
        <f t="shared" si="0"/>
        <v>95.4941896269732</v>
      </c>
      <c r="G11" s="57">
        <f t="shared" si="0"/>
        <v>109.9358291037967</v>
      </c>
      <c r="H11" s="57">
        <f>SUM(H10/H8*100)</f>
        <v>98.7292191060433</v>
      </c>
      <c r="I11" s="57">
        <f>SUM(I10/I8*100)</f>
        <v>102.06136651202023</v>
      </c>
      <c r="J11" s="25">
        <f t="shared" si="0"/>
        <v>100</v>
      </c>
      <c r="K11" s="25">
        <f aca="true" t="shared" si="1" ref="K11:U11">SUM(K10/K8*100)</f>
        <v>108.60024479299177</v>
      </c>
      <c r="L11" s="25">
        <f t="shared" si="1"/>
        <v>95.60043045059788</v>
      </c>
      <c r="M11" s="25">
        <f t="shared" si="1"/>
        <v>113.98775347420391</v>
      </c>
      <c r="N11" s="25">
        <f t="shared" si="1"/>
        <v>116.4618129809048</v>
      </c>
      <c r="O11" s="25">
        <f t="shared" si="1"/>
        <v>88.29772603813545</v>
      </c>
      <c r="P11" s="25">
        <f t="shared" si="1"/>
        <v>142.6593045403599</v>
      </c>
      <c r="Q11" s="25">
        <f t="shared" si="1"/>
        <v>104.85683735706084</v>
      </c>
      <c r="R11" s="25">
        <f t="shared" si="1"/>
        <v>105.57402581328346</v>
      </c>
      <c r="S11" s="25">
        <f t="shared" si="1"/>
        <v>121.4417344546136</v>
      </c>
      <c r="T11" s="25">
        <f t="shared" si="1"/>
        <v>113.50865370730733</v>
      </c>
      <c r="U11" s="55">
        <f t="shared" si="1"/>
        <v>105.57557296000111</v>
      </c>
      <c r="V11" s="56">
        <f>SUM(V10/V8*100)</f>
        <v>109.71367471412168</v>
      </c>
      <c r="W11" s="84">
        <f>SUM(W10/W8*100)</f>
        <v>100.11523307585716</v>
      </c>
    </row>
    <row r="12" spans="1:23" ht="16.5" customHeight="1" thickBot="1">
      <c r="A12" s="45" t="s">
        <v>33</v>
      </c>
      <c r="B12" s="38" t="s">
        <v>3</v>
      </c>
      <c r="C12" s="58">
        <f aca="true" t="shared" si="2" ref="C12:J12">SUM(C13:C26)</f>
        <v>70999.04</v>
      </c>
      <c r="D12" s="19">
        <f t="shared" si="2"/>
        <v>74967.06999999999</v>
      </c>
      <c r="E12" s="58">
        <f t="shared" si="2"/>
        <v>88422.32000000002</v>
      </c>
      <c r="F12" s="58">
        <f t="shared" si="2"/>
        <v>61707.259999999995</v>
      </c>
      <c r="G12" s="58">
        <f t="shared" si="2"/>
        <v>65247.89</v>
      </c>
      <c r="H12" s="58">
        <f>SUM(H13:H26)</f>
        <v>71316.26000000001</v>
      </c>
      <c r="I12" s="58">
        <f>SUM(I13:I26)</f>
        <v>63179.36</v>
      </c>
      <c r="J12" s="13">
        <f t="shared" si="2"/>
        <v>6115.7</v>
      </c>
      <c r="K12" s="13">
        <f aca="true" t="shared" si="3" ref="K12:U12">SUM(K13:K26)</f>
        <v>5016.46</v>
      </c>
      <c r="L12" s="13">
        <f t="shared" si="3"/>
        <v>5077.889999999999</v>
      </c>
      <c r="M12" s="13">
        <f t="shared" si="3"/>
        <v>5358.96</v>
      </c>
      <c r="N12" s="13">
        <f t="shared" si="3"/>
        <v>4885.949999999999</v>
      </c>
      <c r="O12" s="13">
        <f t="shared" si="3"/>
        <v>6028.22</v>
      </c>
      <c r="P12" s="13">
        <f t="shared" si="3"/>
        <v>4842.21</v>
      </c>
      <c r="Q12" s="13">
        <f t="shared" si="3"/>
        <v>5718.25</v>
      </c>
      <c r="R12" s="13">
        <f t="shared" si="3"/>
        <v>6944.519999999999</v>
      </c>
      <c r="S12" s="13">
        <f t="shared" si="3"/>
        <v>5099.96</v>
      </c>
      <c r="T12" s="13">
        <f t="shared" si="3"/>
        <v>7064.529999999999</v>
      </c>
      <c r="U12" s="19">
        <f t="shared" si="3"/>
        <v>6357.619999999999</v>
      </c>
      <c r="V12" s="58">
        <f>SUM(J12:U12)</f>
        <v>68510.26999999999</v>
      </c>
      <c r="W12" s="85">
        <f>SUM(C12:U12)</f>
        <v>564349.4700000001</v>
      </c>
    </row>
    <row r="13" spans="1:23" ht="13.5" thickBot="1">
      <c r="A13" s="45" t="s">
        <v>34</v>
      </c>
      <c r="B13" s="39" t="s">
        <v>5</v>
      </c>
      <c r="C13" s="51">
        <v>9277.69</v>
      </c>
      <c r="D13" s="71">
        <v>13466.39</v>
      </c>
      <c r="E13" s="51">
        <v>14058.96</v>
      </c>
      <c r="F13" s="51">
        <v>15792.08</v>
      </c>
      <c r="G13" s="51">
        <v>15106.21</v>
      </c>
      <c r="H13" s="51">
        <v>14304.28</v>
      </c>
      <c r="I13" s="51">
        <v>14951.17</v>
      </c>
      <c r="J13" s="7">
        <f>1219+15.08</f>
        <v>1234.08</v>
      </c>
      <c r="K13" s="8">
        <f>1219+70.86</f>
        <v>1289.86</v>
      </c>
      <c r="L13" s="8">
        <f>1219+41.61</f>
        <v>1260.61</v>
      </c>
      <c r="M13" s="8">
        <f>1219+131.86</f>
        <v>1350.8600000000001</v>
      </c>
      <c r="N13" s="8">
        <f>1219+65.82</f>
        <v>1284.82</v>
      </c>
      <c r="O13" s="8">
        <f>1219+40.23</f>
        <v>1259.23</v>
      </c>
      <c r="P13" s="8">
        <f>1272+65.91</f>
        <v>1337.91</v>
      </c>
      <c r="Q13" s="8">
        <f>1272+76.64</f>
        <v>1348.64</v>
      </c>
      <c r="R13" s="8">
        <f>1272+79.28</f>
        <v>1351.28</v>
      </c>
      <c r="S13" s="8">
        <f>1272+82.41</f>
        <v>1354.41</v>
      </c>
      <c r="T13" s="8">
        <f>1272+72.02</f>
        <v>1344.02</v>
      </c>
      <c r="U13" s="17">
        <f>1166+66.6</f>
        <v>1232.6</v>
      </c>
      <c r="V13" s="58">
        <f aca="true" t="shared" si="4" ref="V13:V28">SUM(J13:U13)</f>
        <v>15648.32</v>
      </c>
      <c r="W13" s="85">
        <f aca="true" t="shared" si="5" ref="W13:W26">SUM(C13:U13)</f>
        <v>112605.10000000002</v>
      </c>
    </row>
    <row r="14" spans="1:23" ht="12" customHeight="1" thickBot="1">
      <c r="A14" s="45" t="s">
        <v>35</v>
      </c>
      <c r="B14" s="40" t="s">
        <v>66</v>
      </c>
      <c r="C14" s="52">
        <v>10076.95</v>
      </c>
      <c r="D14" s="72">
        <v>6390.6</v>
      </c>
      <c r="E14" s="52">
        <v>1848.72</v>
      </c>
      <c r="F14" s="52">
        <v>11.25</v>
      </c>
      <c r="G14" s="52">
        <v>933.34</v>
      </c>
      <c r="H14" s="52">
        <v>2277.52</v>
      </c>
      <c r="I14" s="52">
        <v>40.23</v>
      </c>
      <c r="J14" s="9"/>
      <c r="K14" s="10"/>
      <c r="L14" s="10">
        <v>197.84</v>
      </c>
      <c r="M14" s="10"/>
      <c r="N14" s="10"/>
      <c r="O14" s="10"/>
      <c r="P14" s="10"/>
      <c r="Q14" s="10"/>
      <c r="R14" s="10"/>
      <c r="S14" s="10"/>
      <c r="T14" s="10"/>
      <c r="U14" s="18"/>
      <c r="V14" s="58">
        <f t="shared" si="4"/>
        <v>197.84</v>
      </c>
      <c r="W14" s="85">
        <f t="shared" si="5"/>
        <v>21776.450000000004</v>
      </c>
    </row>
    <row r="15" spans="1:23" ht="12.75" customHeight="1" thickBot="1">
      <c r="A15" s="45" t="s">
        <v>36</v>
      </c>
      <c r="B15" s="37" t="s">
        <v>6</v>
      </c>
      <c r="C15" s="52">
        <v>0</v>
      </c>
      <c r="D15" s="72">
        <v>7600.85</v>
      </c>
      <c r="E15" s="52">
        <v>0</v>
      </c>
      <c r="F15" s="52">
        <v>0</v>
      </c>
      <c r="G15" s="52"/>
      <c r="H15" s="52">
        <v>6613.3</v>
      </c>
      <c r="I15" s="52">
        <v>0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8"/>
      <c r="V15" s="58">
        <f t="shared" si="4"/>
        <v>0</v>
      </c>
      <c r="W15" s="85">
        <f>SUM(C15:U15)</f>
        <v>14214.150000000001</v>
      </c>
    </row>
    <row r="16" spans="1:23" ht="13.5" customHeight="1" thickBot="1">
      <c r="A16" s="45"/>
      <c r="B16" s="37" t="s">
        <v>72</v>
      </c>
      <c r="C16" s="52"/>
      <c r="D16" s="72"/>
      <c r="E16" s="52"/>
      <c r="F16" s="52"/>
      <c r="G16" s="52"/>
      <c r="H16" s="52"/>
      <c r="I16" s="52">
        <v>2300</v>
      </c>
      <c r="J16" s="9"/>
      <c r="K16" s="10"/>
      <c r="L16" s="10"/>
      <c r="M16" s="10"/>
      <c r="N16" s="10"/>
      <c r="O16" s="10"/>
      <c r="P16" s="10"/>
      <c r="Q16" s="10"/>
      <c r="R16" s="10">
        <v>1200</v>
      </c>
      <c r="S16" s="10"/>
      <c r="T16" s="10"/>
      <c r="U16" s="18"/>
      <c r="V16" s="58">
        <f>SUM(J16:U16)</f>
        <v>1200</v>
      </c>
      <c r="W16" s="85">
        <f>SUM(C16:U16)</f>
        <v>3500</v>
      </c>
    </row>
    <row r="17" spans="1:23" ht="14.25" customHeight="1" thickBot="1">
      <c r="A17" s="45" t="s">
        <v>37</v>
      </c>
      <c r="B17" s="40" t="s">
        <v>64</v>
      </c>
      <c r="C17" s="52">
        <v>29491.37</v>
      </c>
      <c r="D17" s="72">
        <v>8983.42</v>
      </c>
      <c r="E17" s="52">
        <v>28961.17</v>
      </c>
      <c r="F17" s="52">
        <v>227.04</v>
      </c>
      <c r="G17" s="52">
        <v>3443.86</v>
      </c>
      <c r="H17" s="52">
        <v>6421.21</v>
      </c>
      <c r="I17" s="52">
        <v>2281.54</v>
      </c>
      <c r="J17" s="9"/>
      <c r="K17" s="10"/>
      <c r="L17" s="10"/>
      <c r="M17" s="10"/>
      <c r="N17" s="10"/>
      <c r="O17" s="10"/>
      <c r="P17" s="10"/>
      <c r="Q17" s="10">
        <v>95</v>
      </c>
      <c r="R17" s="10"/>
      <c r="S17" s="10"/>
      <c r="T17" s="10">
        <v>1373.3</v>
      </c>
      <c r="U17" s="18">
        <v>705</v>
      </c>
      <c r="V17" s="58">
        <f t="shared" si="4"/>
        <v>2173.3</v>
      </c>
      <c r="W17" s="85">
        <f t="shared" si="5"/>
        <v>81982.90999999999</v>
      </c>
    </row>
    <row r="18" spans="1:23" ht="24" customHeight="1" thickBot="1">
      <c r="A18" s="45" t="s">
        <v>38</v>
      </c>
      <c r="B18" s="40" t="s">
        <v>56</v>
      </c>
      <c r="C18" s="52">
        <v>0</v>
      </c>
      <c r="D18" s="72">
        <v>0</v>
      </c>
      <c r="E18" s="52">
        <v>256</v>
      </c>
      <c r="F18" s="52">
        <v>0</v>
      </c>
      <c r="G18" s="52">
        <v>11.63</v>
      </c>
      <c r="H18" s="52">
        <v>0</v>
      </c>
      <c r="I18" s="52">
        <v>51</v>
      </c>
      <c r="J18" s="9">
        <v>268.15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8">
        <v>48.27</v>
      </c>
      <c r="V18" s="58">
        <f t="shared" si="4"/>
        <v>316.41999999999996</v>
      </c>
      <c r="W18" s="85">
        <f t="shared" si="5"/>
        <v>635.05</v>
      </c>
    </row>
    <row r="19" spans="1:23" ht="15" customHeight="1" thickBot="1">
      <c r="A19" s="45" t="s">
        <v>39</v>
      </c>
      <c r="B19" s="40" t="s">
        <v>76</v>
      </c>
      <c r="C19" s="52">
        <v>11</v>
      </c>
      <c r="D19" s="72">
        <v>41.14</v>
      </c>
      <c r="E19" s="52">
        <v>0</v>
      </c>
      <c r="F19" s="52">
        <v>0</v>
      </c>
      <c r="G19" s="52"/>
      <c r="H19" s="52">
        <v>0</v>
      </c>
      <c r="I19" s="52">
        <v>0</v>
      </c>
      <c r="J19" s="9">
        <v>367.7</v>
      </c>
      <c r="K19" s="10">
        <v>367.57</v>
      </c>
      <c r="L19" s="10">
        <v>367.57</v>
      </c>
      <c r="M19" s="10">
        <v>367.57</v>
      </c>
      <c r="N19" s="10">
        <v>367.57</v>
      </c>
      <c r="O19" s="10">
        <v>1165.69</v>
      </c>
      <c r="P19" s="10">
        <v>149.99</v>
      </c>
      <c r="Q19" s="10">
        <v>653.28</v>
      </c>
      <c r="R19" s="10">
        <v>653.28</v>
      </c>
      <c r="S19" s="10">
        <v>653.28</v>
      </c>
      <c r="T19" s="10">
        <v>653.28</v>
      </c>
      <c r="U19" s="18">
        <v>653.28</v>
      </c>
      <c r="V19" s="58">
        <f t="shared" si="4"/>
        <v>6420.059999999999</v>
      </c>
      <c r="W19" s="85">
        <f t="shared" si="5"/>
        <v>6472.199999999999</v>
      </c>
    </row>
    <row r="20" spans="1:23" ht="15" customHeight="1" thickBot="1">
      <c r="A20" s="45"/>
      <c r="B20" s="40" t="s">
        <v>77</v>
      </c>
      <c r="C20" s="52"/>
      <c r="D20" s="72"/>
      <c r="E20" s="52"/>
      <c r="F20" s="52"/>
      <c r="G20" s="52"/>
      <c r="H20" s="52"/>
      <c r="I20" s="52"/>
      <c r="J20" s="9"/>
      <c r="K20" s="10"/>
      <c r="L20" s="10">
        <f>256.94+128.47</f>
        <v>385.40999999999997</v>
      </c>
      <c r="M20" s="10">
        <v>128.47</v>
      </c>
      <c r="N20" s="10">
        <v>128.47</v>
      </c>
      <c r="O20" s="10">
        <v>80.07</v>
      </c>
      <c r="P20" s="10">
        <v>55.92</v>
      </c>
      <c r="Q20" s="10">
        <v>89.9</v>
      </c>
      <c r="R20" s="10">
        <v>91.33</v>
      </c>
      <c r="S20" s="10">
        <v>91.33</v>
      </c>
      <c r="T20" s="10">
        <v>91.33</v>
      </c>
      <c r="U20" s="18">
        <v>91.33</v>
      </c>
      <c r="V20" s="58">
        <f>SUM(J20:U20)</f>
        <v>1233.56</v>
      </c>
      <c r="W20" s="85">
        <f>SUM(C20:U20)</f>
        <v>1233.56</v>
      </c>
    </row>
    <row r="21" spans="1:23" ht="15" customHeight="1" thickBot="1">
      <c r="A21" s="45" t="s">
        <v>40</v>
      </c>
      <c r="B21" s="40" t="s">
        <v>7</v>
      </c>
      <c r="C21" s="52">
        <v>882.99</v>
      </c>
      <c r="D21" s="72">
        <v>677.95</v>
      </c>
      <c r="E21" s="52">
        <v>416.41</v>
      </c>
      <c r="F21" s="52">
        <v>676.03</v>
      </c>
      <c r="G21" s="52">
        <v>551.45</v>
      </c>
      <c r="H21" s="52">
        <v>1006.64</v>
      </c>
      <c r="I21" s="52">
        <v>826.84</v>
      </c>
      <c r="J21" s="9">
        <v>279.93</v>
      </c>
      <c r="K21" s="10"/>
      <c r="L21" s="10"/>
      <c r="M21" s="10">
        <v>171.63</v>
      </c>
      <c r="N21" s="10"/>
      <c r="O21" s="10">
        <v>129.23</v>
      </c>
      <c r="P21" s="10"/>
      <c r="Q21" s="10"/>
      <c r="R21" s="10">
        <v>226.59</v>
      </c>
      <c r="S21" s="10"/>
      <c r="T21" s="10"/>
      <c r="U21" s="18">
        <v>328.21</v>
      </c>
      <c r="V21" s="58">
        <f t="shared" si="4"/>
        <v>1135.59</v>
      </c>
      <c r="W21" s="85">
        <f t="shared" si="5"/>
        <v>6173.900000000001</v>
      </c>
    </row>
    <row r="22" spans="1:23" ht="33.75" customHeight="1" thickBot="1">
      <c r="A22" s="45" t="s">
        <v>41</v>
      </c>
      <c r="B22" s="40" t="s">
        <v>67</v>
      </c>
      <c r="C22" s="52">
        <v>864.21</v>
      </c>
      <c r="D22" s="72">
        <v>3082.65</v>
      </c>
      <c r="E22" s="52">
        <v>4033.29</v>
      </c>
      <c r="F22" s="52">
        <v>3846.57</v>
      </c>
      <c r="G22" s="52">
        <v>2576.13</v>
      </c>
      <c r="H22" s="52">
        <v>3038.35</v>
      </c>
      <c r="I22" s="52">
        <v>3213.33</v>
      </c>
      <c r="J22" s="9">
        <v>272.07</v>
      </c>
      <c r="K22" s="10">
        <v>254.4</v>
      </c>
      <c r="L22" s="10">
        <v>316.26</v>
      </c>
      <c r="M22" s="10">
        <v>235.04</v>
      </c>
      <c r="N22" s="10">
        <v>250.31</v>
      </c>
      <c r="O22" s="10">
        <v>281.49</v>
      </c>
      <c r="P22" s="10">
        <v>228.14</v>
      </c>
      <c r="Q22" s="10">
        <v>263.89</v>
      </c>
      <c r="R22" s="10">
        <v>248.21</v>
      </c>
      <c r="S22" s="10">
        <v>316.68</v>
      </c>
      <c r="T22" s="10">
        <f>327.57+72.02</f>
        <v>399.59</v>
      </c>
      <c r="U22" s="18">
        <v>270.69</v>
      </c>
      <c r="V22" s="58">
        <f t="shared" si="4"/>
        <v>3336.77</v>
      </c>
      <c r="W22" s="85">
        <f t="shared" si="5"/>
        <v>23991.3</v>
      </c>
    </row>
    <row r="23" spans="1:23" ht="24" customHeight="1" thickBot="1">
      <c r="A23" s="45" t="s">
        <v>42</v>
      </c>
      <c r="B23" s="40" t="s">
        <v>68</v>
      </c>
      <c r="C23" s="52">
        <v>1420.86</v>
      </c>
      <c r="D23" s="72">
        <v>1678.73</v>
      </c>
      <c r="E23" s="52">
        <v>503.9</v>
      </c>
      <c r="F23" s="52">
        <v>356.46</v>
      </c>
      <c r="G23" s="52">
        <v>774.96</v>
      </c>
      <c r="H23" s="52">
        <v>523.62</v>
      </c>
      <c r="I23" s="52">
        <v>457.13</v>
      </c>
      <c r="J23" s="9">
        <v>59.79</v>
      </c>
      <c r="K23" s="10">
        <v>18.4</v>
      </c>
      <c r="L23" s="10">
        <v>19.75</v>
      </c>
      <c r="M23" s="10">
        <v>18.26</v>
      </c>
      <c r="N23" s="10">
        <v>17.72</v>
      </c>
      <c r="O23" s="10">
        <v>27.56</v>
      </c>
      <c r="P23" s="10">
        <v>25.89</v>
      </c>
      <c r="Q23" s="10">
        <v>79.7</v>
      </c>
      <c r="R23" s="10">
        <v>18.6</v>
      </c>
      <c r="S23" s="10">
        <v>27.5</v>
      </c>
      <c r="T23" s="10">
        <v>18.6</v>
      </c>
      <c r="U23" s="18">
        <v>25.35</v>
      </c>
      <c r="V23" s="58">
        <f t="shared" si="4"/>
        <v>357.12000000000006</v>
      </c>
      <c r="W23" s="85">
        <f t="shared" si="5"/>
        <v>6072.780000000002</v>
      </c>
    </row>
    <row r="24" spans="1:23" ht="35.25" customHeight="1" thickBot="1">
      <c r="A24" s="45" t="s">
        <v>43</v>
      </c>
      <c r="B24" s="40" t="s">
        <v>69</v>
      </c>
      <c r="C24" s="52">
        <v>3646.1</v>
      </c>
      <c r="D24" s="72">
        <v>2710.26</v>
      </c>
      <c r="E24" s="52">
        <v>2619.69</v>
      </c>
      <c r="F24" s="52">
        <v>3496.61</v>
      </c>
      <c r="G24" s="52">
        <v>3004.96</v>
      </c>
      <c r="H24" s="52">
        <v>3880.58</v>
      </c>
      <c r="I24" s="52">
        <v>3343.71</v>
      </c>
      <c r="J24" s="9">
        <f>11.99+83.53+136.73</f>
        <v>232.25</v>
      </c>
      <c r="K24" s="10">
        <f>11.94+98.97+83.84</f>
        <v>194.75</v>
      </c>
      <c r="L24" s="10">
        <f>11.76+110.01+147.25</f>
        <v>269.02</v>
      </c>
      <c r="M24" s="10">
        <f>11.1+100.83+141.74</f>
        <v>253.67000000000002</v>
      </c>
      <c r="N24" s="10">
        <f>11.4+122.27+346.74</f>
        <v>480.40999999999997</v>
      </c>
      <c r="O24" s="10">
        <f>168.47+13.38+100.13</f>
        <v>281.98</v>
      </c>
      <c r="P24" s="10">
        <f>14.64+88.13+157.33</f>
        <v>260.1</v>
      </c>
      <c r="Q24" s="10">
        <f>15.87+81.32+187.52</f>
        <v>284.71000000000004</v>
      </c>
      <c r="R24" s="10">
        <f>160.99+12.76+103.12</f>
        <v>276.87</v>
      </c>
      <c r="S24" s="10">
        <f>16.39+116.55+170.01</f>
        <v>302.95</v>
      </c>
      <c r="T24" s="10">
        <f>15.04+135.81+268.37</f>
        <v>419.22</v>
      </c>
      <c r="U24" s="18">
        <f>15.5+136.84+113.86</f>
        <v>266.2</v>
      </c>
      <c r="V24" s="58">
        <f t="shared" si="4"/>
        <v>3522.129999999999</v>
      </c>
      <c r="W24" s="85">
        <f t="shared" si="5"/>
        <v>26224.04</v>
      </c>
    </row>
    <row r="25" spans="1:23" ht="15.75" customHeight="1" thickBot="1">
      <c r="A25" s="45" t="s">
        <v>57</v>
      </c>
      <c r="B25" s="40" t="s">
        <v>11</v>
      </c>
      <c r="C25" s="52">
        <v>13467.79</v>
      </c>
      <c r="D25" s="72">
        <v>26062.3</v>
      </c>
      <c r="E25" s="52">
        <v>32906.44</v>
      </c>
      <c r="F25" s="52">
        <v>34549.63</v>
      </c>
      <c r="G25" s="52">
        <v>35351.25</v>
      </c>
      <c r="H25" s="52">
        <v>30648.79</v>
      </c>
      <c r="I25" s="52">
        <v>33024.32</v>
      </c>
      <c r="J25" s="9">
        <f>6115.7-2933.63</f>
        <v>3182.0699999999997</v>
      </c>
      <c r="K25" s="10">
        <f>5016.46-2363.53</f>
        <v>2652.93</v>
      </c>
      <c r="L25" s="10">
        <f>5077.89-3026.45</f>
        <v>2051.4400000000005</v>
      </c>
      <c r="M25" s="10">
        <f>5358.96-2775.88</f>
        <v>2583.08</v>
      </c>
      <c r="N25" s="10">
        <f>4885.95-2785.12</f>
        <v>2100.83</v>
      </c>
      <c r="O25" s="10">
        <f>6028.22-3419.21</f>
        <v>2609.01</v>
      </c>
      <c r="P25" s="10">
        <f>4842.21-2371.31</f>
        <v>2470.9</v>
      </c>
      <c r="Q25" s="10">
        <f>6218.25-3045.45-500</f>
        <v>2672.8</v>
      </c>
      <c r="R25" s="10">
        <f>6444.52-4298.06+500</f>
        <v>2646.46</v>
      </c>
      <c r="S25" s="10">
        <f>5099.96-3012.91</f>
        <v>2087.05</v>
      </c>
      <c r="T25" s="10">
        <f>6564.53-4548.67+500</f>
        <v>2515.8599999999997</v>
      </c>
      <c r="U25" s="18">
        <f>6857.62-3852.83-500</f>
        <v>2504.79</v>
      </c>
      <c r="V25" s="58">
        <f t="shared" si="4"/>
        <v>30077.22</v>
      </c>
      <c r="W25" s="85">
        <f t="shared" si="5"/>
        <v>236087.73999999996</v>
      </c>
    </row>
    <row r="26" spans="1:23" ht="13.5" customHeight="1" thickBot="1">
      <c r="A26" s="45" t="s">
        <v>58</v>
      </c>
      <c r="B26" s="41" t="s">
        <v>4</v>
      </c>
      <c r="C26" s="53">
        <v>1860.08</v>
      </c>
      <c r="D26" s="73">
        <v>4272.78</v>
      </c>
      <c r="E26" s="53">
        <v>2817.74</v>
      </c>
      <c r="F26" s="53">
        <v>2751.59</v>
      </c>
      <c r="G26" s="53">
        <v>3494.1</v>
      </c>
      <c r="H26" s="53">
        <v>2601.97</v>
      </c>
      <c r="I26" s="53">
        <v>2690.09</v>
      </c>
      <c r="J26" s="11">
        <v>219.66</v>
      </c>
      <c r="K26" s="12">
        <f>18.89+219.66</f>
        <v>238.55</v>
      </c>
      <c r="L26" s="12">
        <f>16.56+193.43</f>
        <v>209.99</v>
      </c>
      <c r="M26" s="12">
        <f>19.85+230.53</f>
        <v>250.38</v>
      </c>
      <c r="N26" s="12">
        <f>20.81+235.01</f>
        <v>255.82</v>
      </c>
      <c r="O26" s="12">
        <f>15.78+178.18</f>
        <v>193.96</v>
      </c>
      <c r="P26" s="12">
        <f>52.22+261.14</f>
        <v>313.36</v>
      </c>
      <c r="Q26" s="12">
        <f>10.67+219.66</f>
        <v>230.32999999999998</v>
      </c>
      <c r="R26" s="12">
        <f>27.6+204.3</f>
        <v>231.9</v>
      </c>
      <c r="S26" s="12">
        <f>31.75+235.01</f>
        <v>266.76</v>
      </c>
      <c r="T26" s="12">
        <f>29.67+219.66</f>
        <v>249.32999999999998</v>
      </c>
      <c r="U26" s="20">
        <f>27.6+204.3</f>
        <v>231.9</v>
      </c>
      <c r="V26" s="58">
        <f t="shared" si="4"/>
        <v>2891.94</v>
      </c>
      <c r="W26" s="85">
        <f t="shared" si="5"/>
        <v>23380.290000000005</v>
      </c>
    </row>
    <row r="27" spans="1:23" ht="13.5" customHeight="1" thickBot="1">
      <c r="A27" s="45"/>
      <c r="B27" s="48" t="s">
        <v>63</v>
      </c>
      <c r="C27" s="75"/>
      <c r="D27" s="76"/>
      <c r="E27" s="75"/>
      <c r="F27" s="75"/>
      <c r="G27" s="78">
        <f>G8*5%</f>
        <v>3489.7440000000006</v>
      </c>
      <c r="H27" s="78">
        <f>H8*5%</f>
        <v>3489.7440000000006</v>
      </c>
      <c r="I27" s="78">
        <f>I8*5%</f>
        <v>3490.1120000000005</v>
      </c>
      <c r="J27" s="77">
        <f>J8*5%</f>
        <v>290.858</v>
      </c>
      <c r="K27" s="77">
        <f aca="true" t="shared" si="6" ref="K27:U27">K8*5%</f>
        <v>290.858</v>
      </c>
      <c r="L27" s="77">
        <f t="shared" si="6"/>
        <v>290.858</v>
      </c>
      <c r="M27" s="77">
        <f t="shared" si="6"/>
        <v>290.858</v>
      </c>
      <c r="N27" s="77">
        <f t="shared" si="6"/>
        <v>290.858</v>
      </c>
      <c r="O27" s="77">
        <f t="shared" si="6"/>
        <v>290.858</v>
      </c>
      <c r="P27" s="77">
        <f t="shared" si="6"/>
        <v>290.858</v>
      </c>
      <c r="Q27" s="77">
        <f t="shared" si="6"/>
        <v>290.858</v>
      </c>
      <c r="R27" s="77">
        <f t="shared" si="6"/>
        <v>290.858</v>
      </c>
      <c r="S27" s="77">
        <f t="shared" si="6"/>
        <v>290.858</v>
      </c>
      <c r="T27" s="77">
        <f t="shared" si="6"/>
        <v>290.858</v>
      </c>
      <c r="U27" s="77">
        <f t="shared" si="6"/>
        <v>290.858</v>
      </c>
      <c r="V27" s="78">
        <f t="shared" si="4"/>
        <v>3490.2960000000007</v>
      </c>
      <c r="W27" s="86"/>
    </row>
    <row r="28" spans="1:23" ht="16.5" customHeight="1" thickBot="1">
      <c r="A28" s="90" t="s">
        <v>44</v>
      </c>
      <c r="B28" s="63" t="s">
        <v>54</v>
      </c>
      <c r="C28" s="64"/>
      <c r="D28" s="74"/>
      <c r="E28" s="64"/>
      <c r="F28" s="64"/>
      <c r="G28" s="64"/>
      <c r="H28" s="64"/>
      <c r="I28" s="64"/>
      <c r="J28" s="79">
        <f>SUM(J8+J9-J12)-J27</f>
        <v>-89.108</v>
      </c>
      <c r="K28" s="79">
        <f aca="true" t="shared" si="7" ref="K28:U28">SUM(K8+K9-K12)-K27</f>
        <v>1010.0019999999997</v>
      </c>
      <c r="L28" s="79">
        <f t="shared" si="7"/>
        <v>948.5720000000003</v>
      </c>
      <c r="M28" s="79">
        <f t="shared" si="7"/>
        <v>682.392</v>
      </c>
      <c r="N28" s="79">
        <f t="shared" si="7"/>
        <v>1155.4020000000012</v>
      </c>
      <c r="O28" s="79">
        <f t="shared" si="7"/>
        <v>783.8520000000001</v>
      </c>
      <c r="P28" s="79">
        <f t="shared" si="7"/>
        <v>966.6219999999996</v>
      </c>
      <c r="Q28" s="79">
        <f t="shared" si="7"/>
        <v>593.8719999999996</v>
      </c>
      <c r="R28" s="79">
        <f t="shared" si="7"/>
        <v>-632.397999999999</v>
      </c>
      <c r="S28" s="79">
        <f t="shared" si="7"/>
        <v>1212.1619999999996</v>
      </c>
      <c r="T28" s="79">
        <f t="shared" si="7"/>
        <v>-752.4079999999992</v>
      </c>
      <c r="U28" s="79">
        <f t="shared" si="7"/>
        <v>-45.49799999999942</v>
      </c>
      <c r="V28" s="91">
        <f t="shared" si="4"/>
        <v>5833.464000000001</v>
      </c>
      <c r="W28" s="86"/>
    </row>
    <row r="29" spans="1:23" ht="27.75" customHeight="1" thickBot="1">
      <c r="A29" s="96" t="s">
        <v>45</v>
      </c>
      <c r="B29" s="97" t="s">
        <v>25</v>
      </c>
      <c r="C29" s="48">
        <v>-18468.88</v>
      </c>
      <c r="D29" s="19">
        <f>SUM(D8-D12)</f>
        <v>-4870.709999999992</v>
      </c>
      <c r="E29" s="58">
        <f>SUM(E8-E12)</f>
        <v>-18246.560000000027</v>
      </c>
      <c r="F29" s="58">
        <f>SUM(F8-F12)</f>
        <v>8116.139999999999</v>
      </c>
      <c r="G29" s="78">
        <f>SUM(G8-G12)-G27</f>
        <v>1057.2460000000046</v>
      </c>
      <c r="H29" s="78">
        <f>SUM(H8-H12)-H27</f>
        <v>-5011.124000000005</v>
      </c>
      <c r="I29" s="78">
        <f>SUM(I8-I12)-I27</f>
        <v>3132.768000000004</v>
      </c>
      <c r="J29" s="98">
        <f>SUM(J8+J9-J12)-J27</f>
        <v>-89.108</v>
      </c>
      <c r="K29" s="80">
        <f>SUM(K28+J29)</f>
        <v>920.8939999999998</v>
      </c>
      <c r="L29" s="80">
        <f aca="true" t="shared" si="8" ref="L29:U29">SUM(L28+K29)</f>
        <v>1869.4660000000001</v>
      </c>
      <c r="M29" s="80">
        <f t="shared" si="8"/>
        <v>2551.858</v>
      </c>
      <c r="N29" s="80">
        <f t="shared" si="8"/>
        <v>3707.260000000001</v>
      </c>
      <c r="O29" s="80">
        <f t="shared" si="8"/>
        <v>4491.112000000001</v>
      </c>
      <c r="P29" s="80">
        <f t="shared" si="8"/>
        <v>5457.734</v>
      </c>
      <c r="Q29" s="80">
        <f t="shared" si="8"/>
        <v>6051.606</v>
      </c>
      <c r="R29" s="80">
        <f t="shared" si="8"/>
        <v>5419.2080000000005</v>
      </c>
      <c r="S29" s="80">
        <f t="shared" si="8"/>
        <v>6631.37</v>
      </c>
      <c r="T29" s="80">
        <f t="shared" si="8"/>
        <v>5878.962</v>
      </c>
      <c r="U29" s="80">
        <f t="shared" si="8"/>
        <v>5833.464000000001</v>
      </c>
      <c r="V29" s="58"/>
      <c r="W29" s="54"/>
    </row>
    <row r="30" spans="1:23" ht="21" customHeight="1" hidden="1" thickBot="1">
      <c r="A30" s="92" t="s">
        <v>46</v>
      </c>
      <c r="B30" s="49" t="s">
        <v>26</v>
      </c>
      <c r="C30" s="49">
        <v>-18468.88</v>
      </c>
      <c r="D30" s="93">
        <f>SUM(D8-D12,C30)</f>
        <v>-23339.589999999993</v>
      </c>
      <c r="E30" s="61">
        <f>SUM(E8-E12,D30)</f>
        <v>-41586.15000000002</v>
      </c>
      <c r="F30" s="61">
        <f>SUM(F8-F12,E30)</f>
        <v>-33470.010000000024</v>
      </c>
      <c r="G30" s="94">
        <f>SUM(G29+F30)</f>
        <v>-32412.764000000017</v>
      </c>
      <c r="H30" s="94">
        <f>SUM(H29+G30)</f>
        <v>-37423.88800000002</v>
      </c>
      <c r="I30" s="94">
        <f>SUM(I29+H30)</f>
        <v>-34291.12000000002</v>
      </c>
      <c r="J30" s="94">
        <f>SUM(J29+I30)</f>
        <v>-34380.22800000002</v>
      </c>
      <c r="K30" s="95">
        <f>SUM(K28+J30)</f>
        <v>-33370.22600000002</v>
      </c>
      <c r="L30" s="95">
        <f aca="true" t="shared" si="9" ref="L30:T30">SUM(L28+K30)</f>
        <v>-32421.654000000017</v>
      </c>
      <c r="M30" s="95">
        <f t="shared" si="9"/>
        <v>-31739.262000000017</v>
      </c>
      <c r="N30" s="95">
        <f t="shared" si="9"/>
        <v>-30583.860000000015</v>
      </c>
      <c r="O30" s="95">
        <f t="shared" si="9"/>
        <v>-29800.008000000016</v>
      </c>
      <c r="P30" s="95">
        <f t="shared" si="9"/>
        <v>-28833.386000000017</v>
      </c>
      <c r="Q30" s="95">
        <f t="shared" si="9"/>
        <v>-28239.514000000017</v>
      </c>
      <c r="R30" s="95">
        <f t="shared" si="9"/>
        <v>-28871.912000000015</v>
      </c>
      <c r="S30" s="95">
        <f t="shared" si="9"/>
        <v>-27659.750000000015</v>
      </c>
      <c r="T30" s="95">
        <f t="shared" si="9"/>
        <v>-28412.158000000014</v>
      </c>
      <c r="U30" s="95">
        <f>SUM(U28+T30)-0.02</f>
        <v>-28457.676000000014</v>
      </c>
      <c r="V30" s="61"/>
      <c r="W30" s="32"/>
    </row>
    <row r="31" spans="1:23" ht="10.5" customHeight="1" hidden="1" thickBot="1">
      <c r="A31" s="45" t="s">
        <v>46</v>
      </c>
      <c r="B31" s="48" t="s">
        <v>9</v>
      </c>
      <c r="C31" s="49"/>
      <c r="D31" s="49"/>
      <c r="E31" s="67"/>
      <c r="F31" s="67"/>
      <c r="G31" s="67"/>
      <c r="H31" s="67"/>
      <c r="I31" s="67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1"/>
      <c r="V31" s="58"/>
      <c r="W31" s="24"/>
    </row>
    <row r="32" spans="1:23" ht="15" customHeight="1" hidden="1" thickBot="1">
      <c r="A32" s="45" t="s">
        <v>47</v>
      </c>
      <c r="B32" s="42" t="s">
        <v>27</v>
      </c>
      <c r="C32" s="49"/>
      <c r="D32" s="49"/>
      <c r="E32" s="67"/>
      <c r="F32" s="67"/>
      <c r="G32" s="67"/>
      <c r="H32" s="67"/>
      <c r="I32" s="67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1"/>
      <c r="V32" s="61"/>
      <c r="W32" s="23"/>
    </row>
    <row r="33" spans="1:23" ht="24" customHeight="1" hidden="1" thickBot="1">
      <c r="A33" s="46" t="s">
        <v>48</v>
      </c>
      <c r="B33" s="43" t="s">
        <v>51</v>
      </c>
      <c r="C33" s="50"/>
      <c r="D33" s="50"/>
      <c r="E33" s="68"/>
      <c r="F33" s="68"/>
      <c r="G33" s="68"/>
      <c r="H33" s="68"/>
      <c r="I33" s="6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>
        <f>SUM(U29-U31)</f>
        <v>5833.464000000001</v>
      </c>
      <c r="V33" s="62"/>
      <c r="W33" s="31"/>
    </row>
    <row r="34" spans="1:23" ht="24" customHeight="1" hidden="1" thickBot="1">
      <c r="A34" s="46" t="s">
        <v>50</v>
      </c>
      <c r="B34" s="43" t="s">
        <v>28</v>
      </c>
      <c r="C34" s="50"/>
      <c r="D34" s="50"/>
      <c r="E34" s="68"/>
      <c r="F34" s="68"/>
      <c r="G34" s="68"/>
      <c r="H34" s="68"/>
      <c r="I34" s="6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>
        <f>SUM(U30-U31)</f>
        <v>-28457.676000000014</v>
      </c>
      <c r="V34" s="62"/>
      <c r="W34" s="31"/>
    </row>
    <row r="35" spans="3:23" ht="24" customHeight="1" hidden="1">
      <c r="C35" s="26"/>
      <c r="D35" s="26"/>
      <c r="E35" s="26"/>
      <c r="F35" s="26"/>
      <c r="G35" s="26"/>
      <c r="H35" s="26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</row>
    <row r="36" ht="12.75">
      <c r="B36" t="s">
        <v>70</v>
      </c>
    </row>
    <row r="37" ht="12.75" hidden="1"/>
    <row r="38" ht="12.75" hidden="1"/>
    <row r="39" ht="12.75" hidden="1"/>
    <row r="44" ht="12.75" customHeight="1"/>
    <row r="45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2018-02-07T10:48:41Z</cp:lastPrinted>
  <dcterms:created xsi:type="dcterms:W3CDTF">2011-06-16T11:06:26Z</dcterms:created>
  <dcterms:modified xsi:type="dcterms:W3CDTF">2018-02-12T07:47:56Z</dcterms:modified>
  <cp:category/>
  <cp:version/>
  <cp:contentType/>
  <cp:contentStatus/>
</cp:coreProperties>
</file>