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95" windowHeight="10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<sst xmlns="http://schemas.openxmlformats.org/spreadsheetml/2006/main" count="79" uniqueCount="79">
  <si>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СПРАВКА</t>
  </si>
  <si>
    <t xml:space="preserve">Начислено  </t>
  </si>
  <si>
    <t>Оплачено</t>
  </si>
  <si>
    <t>Расходы</t>
  </si>
  <si>
    <t>Услуги РИРЦ</t>
  </si>
  <si>
    <t>Вывоз ТБО</t>
  </si>
  <si>
    <t>Тех.обслуж.газового обор.</t>
  </si>
  <si>
    <t>Дератизация, дезинфекция</t>
  </si>
  <si>
    <t>Наименование</t>
  </si>
  <si>
    <t>Задолженность по неплательщикам</t>
  </si>
  <si>
    <t>ООО "Наш дом"</t>
  </si>
  <si>
    <t>Зар. Плата+налоги</t>
  </si>
  <si>
    <t xml:space="preserve">                               о поступлении   и   расходовании   денежных   средств  по  услуге   содержание   и   техническое обслуживание                                                                                                                  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</si>
  <si>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</si>
  <si>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</si>
  <si>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</si>
  <si>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</si>
  <si>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</si>
  <si>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</si>
  <si>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</si>
  <si>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</si>
  <si>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</si>
  <si>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октябоь</t>
  </si>
  <si>
    <t>декабрь</t>
  </si>
  <si>
    <t>ноябрь</t>
  </si>
  <si>
    <t>Фин.результат с начала года</t>
  </si>
  <si>
    <t>Фин.результат с начала деятельности</t>
  </si>
  <si>
    <t>Задолженность на 01.05.2011г</t>
  </si>
  <si>
    <t>Финансовый результат по дому с начала деятельности</t>
  </si>
  <si>
    <t>№</t>
  </si>
  <si>
    <t>1</t>
  </si>
  <si>
    <t>2</t>
  </si>
  <si>
    <t>3</t>
  </si>
  <si>
    <t>4</t>
  </si>
  <si>
    <t>4.1</t>
  </si>
  <si>
    <t>4.2</t>
  </si>
  <si>
    <t>4.4</t>
  </si>
  <si>
    <t>4.5</t>
  </si>
  <si>
    <t>4.6</t>
  </si>
  <si>
    <t>4.8</t>
  </si>
  <si>
    <t>4.9</t>
  </si>
  <si>
    <t>4.10</t>
  </si>
  <si>
    <t>6</t>
  </si>
  <si>
    <t>7</t>
  </si>
  <si>
    <t>8</t>
  </si>
  <si>
    <t>9</t>
  </si>
  <si>
    <t>за 2010 г</t>
  </si>
  <si>
    <t>10</t>
  </si>
  <si>
    <t>Финансовый результат по дому с начала года</t>
  </si>
  <si>
    <t>по жилому дому г. Унеча ул. Нахимова д.6</t>
  </si>
  <si>
    <t>Итого за 2011 г</t>
  </si>
  <si>
    <t>Проверка дымовых каналов</t>
  </si>
  <si>
    <t>11</t>
  </si>
  <si>
    <t>Результат за месяц</t>
  </si>
  <si>
    <t>Дом по ул.Нахимова д.6 вступил в ООО "Наш дом" с апреля 2010 года                тариф 9,2 руб</t>
  </si>
  <si>
    <t>Итого за 2012 г</t>
  </si>
  <si>
    <t>Благоустройство территории</t>
  </si>
  <si>
    <t xml:space="preserve">Материалы </t>
  </si>
  <si>
    <t>4.12</t>
  </si>
  <si>
    <t>4.13</t>
  </si>
  <si>
    <t>4.14</t>
  </si>
  <si>
    <t>4.15</t>
  </si>
  <si>
    <t>5</t>
  </si>
  <si>
    <t>4.16</t>
  </si>
  <si>
    <t>%  оплаты</t>
  </si>
  <si>
    <t>Итого за 2013 г</t>
  </si>
  <si>
    <t>Итого за 2014 г</t>
  </si>
  <si>
    <t>рентабельность 5%</t>
  </si>
  <si>
    <t>Итого за 2015 г</t>
  </si>
  <si>
    <t>Услуги сторонних орган.</t>
  </si>
  <si>
    <t>Транспортные(ГСМ,зап.части,амортизация,страхование ит.д.)</t>
  </si>
  <si>
    <t xml:space="preserve">Расходы на управление,аренда, связь </t>
  </si>
  <si>
    <t xml:space="preserve">УслугиМФЦ,агентские,охрана труда,отопление, хол.вода, эл.энегрия   </t>
  </si>
  <si>
    <t>Исполнитель  вед. экономист /Викторова Л.С/</t>
  </si>
  <si>
    <t>Итого за 2016 г</t>
  </si>
  <si>
    <t>Итого за 2017 г</t>
  </si>
  <si>
    <t>Всего за 2010-2017</t>
  </si>
  <si>
    <t>Начислено  СОИД</t>
  </si>
  <si>
    <t>Электроэнергия СОИД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</si>
</sst>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sz val="10"/>
      <color indexed="10"/>
      <name val="Arial Cyr"/>
      <family val="0"/>
    </font>
    <font>
      <i/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0" fillId="15" borderId="7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2" fillId="0" borderId="0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19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/>
    </xf>
    <xf numFmtId="0" fontId="21" fillId="0" borderId="22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1" fontId="21" fillId="0" borderId="14" xfId="0" applyNumberFormat="1" applyFont="1" applyBorder="1" applyAlignment="1">
      <alignment horizontal="center"/>
    </xf>
    <xf numFmtId="0" fontId="21" fillId="2" borderId="0" xfId="0" applyFont="1" applyFill="1" applyBorder="1" applyAlignment="1">
      <alignment wrapText="1"/>
    </xf>
    <xf numFmtId="0" fontId="2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20" fillId="2" borderId="18" xfId="0" applyFont="1" applyFill="1" applyBorder="1" applyAlignment="1">
      <alignment/>
    </xf>
    <xf numFmtId="0" fontId="20" fillId="2" borderId="26" xfId="0" applyFont="1" applyFill="1" applyBorder="1" applyAlignment="1">
      <alignment/>
    </xf>
    <xf numFmtId="0" fontId="25" fillId="0" borderId="27" xfId="0" applyFont="1" applyBorder="1" applyAlignment="1">
      <alignment/>
    </xf>
    <xf numFmtId="49" fontId="0" fillId="0" borderId="0" xfId="0" applyNumberFormat="1" applyAlignment="1">
      <alignment horizontal="center"/>
    </xf>
    <xf numFmtId="0" fontId="23" fillId="0" borderId="28" xfId="0" applyFont="1" applyBorder="1" applyAlignment="1">
      <alignment horizontal="left" vertical="center" wrapText="1"/>
    </xf>
    <xf numFmtId="0" fontId="24" fillId="0" borderId="29" xfId="0" applyFont="1" applyBorder="1" applyAlignment="1">
      <alignment wrapText="1"/>
    </xf>
    <xf numFmtId="0" fontId="24" fillId="0" borderId="30" xfId="0" applyFont="1" applyBorder="1" applyAlignment="1">
      <alignment wrapText="1"/>
    </xf>
    <xf numFmtId="0" fontId="21" fillId="0" borderId="30" xfId="0" applyFont="1" applyBorder="1" applyAlignment="1">
      <alignment horizontal="left" wrapText="1"/>
    </xf>
    <xf numFmtId="0" fontId="24" fillId="0" borderId="28" xfId="0" applyFont="1" applyBorder="1" applyAlignment="1">
      <alignment wrapText="1"/>
    </xf>
    <xf numFmtId="49" fontId="21" fillId="0" borderId="29" xfId="0" applyNumberFormat="1" applyFont="1" applyBorder="1" applyAlignment="1">
      <alignment wrapText="1"/>
    </xf>
    <xf numFmtId="0" fontId="21" fillId="0" borderId="30" xfId="0" applyFont="1" applyBorder="1" applyAlignment="1">
      <alignment wrapText="1"/>
    </xf>
    <xf numFmtId="0" fontId="21" fillId="0" borderId="31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2" borderId="32" xfId="0" applyFont="1" applyFill="1" applyBorder="1" applyAlignment="1">
      <alignment wrapText="1"/>
    </xf>
    <xf numFmtId="49" fontId="0" fillId="0" borderId="33" xfId="0" applyNumberFormat="1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0" fontId="23" fillId="0" borderId="36" xfId="0" applyFont="1" applyBorder="1" applyAlignment="1">
      <alignment horizontal="left" vertical="center" wrapText="1"/>
    </xf>
    <xf numFmtId="0" fontId="21" fillId="0" borderId="3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2" borderId="37" xfId="0" applyFont="1" applyFill="1" applyBorder="1" applyAlignment="1">
      <alignment wrapText="1"/>
    </xf>
    <xf numFmtId="2" fontId="21" fillId="0" borderId="27" xfId="0" applyNumberFormat="1" applyFont="1" applyBorder="1" applyAlignment="1">
      <alignment horizontal="right" wrapText="1"/>
    </xf>
    <xf numFmtId="2" fontId="21" fillId="0" borderId="34" xfId="0" applyNumberFormat="1" applyFont="1" applyBorder="1" applyAlignment="1">
      <alignment horizontal="right" wrapText="1"/>
    </xf>
    <xf numFmtId="2" fontId="21" fillId="0" borderId="35" xfId="0" applyNumberFormat="1" applyFont="1" applyBorder="1" applyAlignment="1">
      <alignment horizontal="right" wrapText="1"/>
    </xf>
    <xf numFmtId="2" fontId="25" fillId="0" borderId="36" xfId="0" applyNumberFormat="1" applyFont="1" applyBorder="1" applyAlignment="1">
      <alignment/>
    </xf>
    <xf numFmtId="1" fontId="21" fillId="0" borderId="38" xfId="0" applyNumberFormat="1" applyFont="1" applyBorder="1" applyAlignment="1">
      <alignment horizontal="center"/>
    </xf>
    <xf numFmtId="0" fontId="23" fillId="0" borderId="28" xfId="0" applyFont="1" applyBorder="1" applyAlignment="1">
      <alignment horizontal="center" vertical="center" wrapText="1"/>
    </xf>
    <xf numFmtId="0" fontId="0" fillId="0" borderId="39" xfId="0" applyBorder="1" applyAlignment="1">
      <alignment/>
    </xf>
    <xf numFmtId="0" fontId="25" fillId="0" borderId="28" xfId="0" applyFont="1" applyBorder="1" applyAlignment="1">
      <alignment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2" borderId="28" xfId="0" applyFill="1" applyBorder="1" applyAlignment="1">
      <alignment/>
    </xf>
    <xf numFmtId="0" fontId="19" fillId="0" borderId="36" xfId="0" applyFont="1" applyBorder="1" applyAlignment="1">
      <alignment horizontal="center" vertical="center" wrapText="1"/>
    </xf>
    <xf numFmtId="0" fontId="21" fillId="0" borderId="27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41" xfId="0" applyFont="1" applyBorder="1" applyAlignment="1">
      <alignment/>
    </xf>
    <xf numFmtId="0" fontId="20" fillId="2" borderId="37" xfId="0" applyFont="1" applyFill="1" applyBorder="1" applyAlignment="1">
      <alignment/>
    </xf>
    <xf numFmtId="1" fontId="21" fillId="0" borderId="34" xfId="0" applyNumberFormat="1" applyFont="1" applyBorder="1" applyAlignment="1">
      <alignment horizontal="center"/>
    </xf>
    <xf numFmtId="0" fontId="21" fillId="0" borderId="33" xfId="0" applyFont="1" applyBorder="1" applyAlignment="1">
      <alignment/>
    </xf>
    <xf numFmtId="1" fontId="20" fillId="0" borderId="42" xfId="0" applyNumberFormat="1" applyFont="1" applyBorder="1" applyAlignment="1">
      <alignment horizontal="center"/>
    </xf>
    <xf numFmtId="0" fontId="25" fillId="0" borderId="33" xfId="0" applyFont="1" applyBorder="1" applyAlignment="1">
      <alignment/>
    </xf>
    <xf numFmtId="49" fontId="0" fillId="0" borderId="36" xfId="0" applyNumberFormat="1" applyBorder="1" applyAlignment="1">
      <alignment horizontal="center"/>
    </xf>
    <xf numFmtId="0" fontId="21" fillId="0" borderId="40" xfId="0" applyFont="1" applyBorder="1" applyAlignment="1">
      <alignment wrapText="1"/>
    </xf>
    <xf numFmtId="2" fontId="21" fillId="0" borderId="41" xfId="0" applyNumberFormat="1" applyFont="1" applyBorder="1" applyAlignment="1">
      <alignment horizontal="right" wrapText="1"/>
    </xf>
    <xf numFmtId="2" fontId="25" fillId="0" borderId="39" xfId="0" applyNumberFormat="1" applyFont="1" applyBorder="1" applyAlignment="1">
      <alignment/>
    </xf>
    <xf numFmtId="0" fontId="26" fillId="0" borderId="33" xfId="0" applyFont="1" applyBorder="1" applyAlignment="1">
      <alignment wrapText="1"/>
    </xf>
    <xf numFmtId="0" fontId="26" fillId="0" borderId="34" xfId="0" applyFont="1" applyBorder="1" applyAlignment="1">
      <alignment wrapText="1"/>
    </xf>
    <xf numFmtId="0" fontId="21" fillId="0" borderId="26" xfId="0" applyFont="1" applyBorder="1" applyAlignment="1">
      <alignment wrapText="1"/>
    </xf>
    <xf numFmtId="0" fontId="21" fillId="2" borderId="26" xfId="0" applyFont="1" applyFill="1" applyBorder="1" applyAlignment="1">
      <alignment wrapText="1"/>
    </xf>
    <xf numFmtId="0" fontId="26" fillId="0" borderId="43" xfId="0" applyFont="1" applyBorder="1" applyAlignment="1">
      <alignment wrapText="1"/>
    </xf>
    <xf numFmtId="0" fontId="26" fillId="0" borderId="44" xfId="0" applyFont="1" applyBorder="1" applyAlignment="1">
      <alignment wrapText="1"/>
    </xf>
    <xf numFmtId="2" fontId="21" fillId="0" borderId="43" xfId="0" applyNumberFormat="1" applyFont="1" applyBorder="1" applyAlignment="1">
      <alignment horizontal="right" wrapText="1"/>
    </xf>
    <xf numFmtId="2" fontId="21" fillId="0" borderId="44" xfId="0" applyNumberFormat="1" applyFont="1" applyBorder="1" applyAlignment="1">
      <alignment horizontal="right" wrapText="1"/>
    </xf>
    <xf numFmtId="2" fontId="21" fillId="0" borderId="45" xfId="0" applyNumberFormat="1" applyFont="1" applyBorder="1" applyAlignment="1">
      <alignment horizontal="right" wrapText="1"/>
    </xf>
    <xf numFmtId="2" fontId="21" fillId="0" borderId="46" xfId="0" applyNumberFormat="1" applyFont="1" applyBorder="1" applyAlignment="1">
      <alignment horizontal="right" wrapText="1"/>
    </xf>
    <xf numFmtId="2" fontId="21" fillId="0" borderId="36" xfId="0" applyNumberFormat="1" applyFont="1" applyBorder="1" applyAlignment="1">
      <alignment horizontal="right" wrapText="1"/>
    </xf>
    <xf numFmtId="2" fontId="21" fillId="0" borderId="47" xfId="0" applyNumberFormat="1" applyFont="1" applyBorder="1" applyAlignment="1">
      <alignment horizontal="right" wrapText="1"/>
    </xf>
    <xf numFmtId="0" fontId="21" fillId="0" borderId="28" xfId="0" applyFont="1" applyBorder="1" applyAlignment="1">
      <alignment/>
    </xf>
    <xf numFmtId="0" fontId="26" fillId="0" borderId="27" xfId="0" applyFont="1" applyBorder="1" applyAlignment="1">
      <alignment wrapText="1"/>
    </xf>
    <xf numFmtId="2" fontId="21" fillId="0" borderId="28" xfId="0" applyNumberFormat="1" applyFont="1" applyBorder="1" applyAlignment="1">
      <alignment/>
    </xf>
    <xf numFmtId="2" fontId="21" fillId="0" borderId="48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49" fontId="0" fillId="0" borderId="42" xfId="0" applyNumberFormat="1" applyBorder="1" applyAlignment="1">
      <alignment horizontal="center"/>
    </xf>
    <xf numFmtId="2" fontId="21" fillId="0" borderId="49" xfId="0" applyNumberFormat="1" applyFont="1" applyBorder="1" applyAlignment="1">
      <alignment/>
    </xf>
    <xf numFmtId="49" fontId="0" fillId="0" borderId="27" xfId="0" applyNumberForma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37" xfId="0" applyFont="1" applyBorder="1" applyAlignment="1">
      <alignment/>
    </xf>
    <xf numFmtId="0" fontId="21" fillId="0" borderId="32" xfId="0" applyFont="1" applyBorder="1" applyAlignment="1">
      <alignment/>
    </xf>
    <xf numFmtId="2" fontId="21" fillId="0" borderId="32" xfId="0" applyNumberFormat="1" applyFont="1" applyBorder="1" applyAlignment="1">
      <alignment/>
    </xf>
    <xf numFmtId="2" fontId="21" fillId="0" borderId="19" xfId="0" applyNumberFormat="1" applyFont="1" applyBorder="1" applyAlignment="1">
      <alignment/>
    </xf>
    <xf numFmtId="0" fontId="21" fillId="0" borderId="28" xfId="0" applyFont="1" applyBorder="1" applyAlignment="1">
      <alignment wrapText="1"/>
    </xf>
    <xf numFmtId="2" fontId="21" fillId="0" borderId="1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10">
      <selection activeCell="M26" sqref="M26"/>
    </sheetView>
  </sheetViews>
  <sheetFormatPr defaultColWidth="9.00390625" defaultRowHeight="12.75"/>
  <cols>
    <col min="1" max="1" width="4.75390625" style="29" customWidth="1"/>
    <col min="2" max="2" width="21.00390625" style="0" customWidth="1"/>
    <col min="3" max="3" width="7.125" style="0" hidden="1" customWidth="1"/>
    <col min="4" max="4" width="8.125" style="0" hidden="1" customWidth="1"/>
    <col min="5" max="5" width="8.875" style="0" hidden="1" customWidth="1"/>
    <col min="6" max="7" width="9.00390625" style="0" hidden="1" customWidth="1"/>
    <col min="8" max="8" width="8.875" style="0" hidden="1" customWidth="1"/>
    <col min="9" max="9" width="0.12890625" style="0" hidden="1" customWidth="1"/>
    <col min="10" max="10" width="8.375" style="0" customWidth="1"/>
    <col min="11" max="11" width="8.00390625" style="0" customWidth="1"/>
    <col min="12" max="12" width="8.125" style="0" customWidth="1"/>
    <col min="13" max="13" width="8.875" style="0" customWidth="1"/>
    <col min="14" max="14" width="8.25390625" style="0" customWidth="1"/>
    <col min="15" max="15" width="7.875" style="0" customWidth="1"/>
    <col min="16" max="16" width="8.625" style="0" customWidth="1"/>
    <col min="17" max="17" width="8.125" style="0" customWidth="1"/>
    <col min="18" max="18" width="8.375" style="0" customWidth="1"/>
    <col min="19" max="19" width="9.00390625" style="0" customWidth="1"/>
    <col min="20" max="20" width="8.125" style="0" customWidth="1"/>
    <col min="21" max="21" width="8.625" style="0" customWidth="1"/>
    <col min="22" max="22" width="10.375" style="0" customWidth="1"/>
    <col min="23" max="23" width="9.875" style="0" hidden="1" customWidth="1"/>
  </cols>
  <sheetData>
    <row r="1" spans="2:28" ht="12.75" customHeight="1">
      <c r="B1" s="92" t="s">
        <v>10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 customHeight="1">
      <c r="B2" s="92" t="s">
        <v>54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4"/>
      <c r="U2" s="4"/>
      <c r="V2" s="4"/>
      <c r="W2" s="4"/>
      <c r="X2" s="4"/>
      <c r="Y2" s="4"/>
      <c r="Z2" s="4"/>
      <c r="AA2" s="4"/>
      <c r="AB2" s="4"/>
    </row>
    <row r="3" spans="2:28" ht="12.75" customHeight="1">
      <c r="B3" s="91" t="s">
        <v>0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3"/>
      <c r="Y3" s="3"/>
      <c r="Z3" s="3"/>
      <c r="AA3" s="3"/>
      <c r="AB3" s="3"/>
    </row>
    <row r="4" spans="2:28" ht="15" customHeight="1">
      <c r="B4" s="90" t="s">
        <v>12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2"/>
      <c r="Y4" s="2"/>
      <c r="Z4" s="2"/>
      <c r="AA4" s="2"/>
      <c r="AB4" s="2"/>
    </row>
    <row r="5" spans="2:28" ht="16.5" customHeight="1">
      <c r="B5" s="90" t="s">
        <v>49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2"/>
      <c r="Y5" s="2"/>
      <c r="Z5" s="2"/>
      <c r="AA5" s="2"/>
      <c r="AB5" s="2"/>
    </row>
    <row r="6" spans="2:28" ht="16.5" customHeight="1" thickBo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2"/>
      <c r="Y6" s="2"/>
      <c r="Z6" s="2"/>
      <c r="AA6" s="2"/>
      <c r="AB6" s="2"/>
    </row>
    <row r="7" spans="1:28" ht="38.25" customHeight="1" thickBot="1">
      <c r="A7" s="40" t="s">
        <v>29</v>
      </c>
      <c r="B7" s="30" t="s">
        <v>8</v>
      </c>
      <c r="C7" s="43" t="s">
        <v>46</v>
      </c>
      <c r="D7" s="58" t="s">
        <v>50</v>
      </c>
      <c r="E7" s="58" t="s">
        <v>55</v>
      </c>
      <c r="F7" s="58" t="s">
        <v>65</v>
      </c>
      <c r="G7" s="58" t="s">
        <v>66</v>
      </c>
      <c r="H7" s="58" t="s">
        <v>68</v>
      </c>
      <c r="I7" s="58" t="s">
        <v>74</v>
      </c>
      <c r="J7" s="6" t="s">
        <v>13</v>
      </c>
      <c r="K7" s="5" t="s">
        <v>14</v>
      </c>
      <c r="L7" s="5" t="s">
        <v>15</v>
      </c>
      <c r="M7" s="5" t="s">
        <v>16</v>
      </c>
      <c r="N7" s="5" t="s">
        <v>17</v>
      </c>
      <c r="O7" s="5" t="s">
        <v>18</v>
      </c>
      <c r="P7" s="5" t="s">
        <v>19</v>
      </c>
      <c r="Q7" s="5" t="s">
        <v>20</v>
      </c>
      <c r="R7" s="5" t="s">
        <v>21</v>
      </c>
      <c r="S7" s="5" t="s">
        <v>22</v>
      </c>
      <c r="T7" s="5" t="s">
        <v>24</v>
      </c>
      <c r="U7" s="16" t="s">
        <v>23</v>
      </c>
      <c r="V7" s="58" t="s">
        <v>75</v>
      </c>
      <c r="W7" s="52" t="s">
        <v>76</v>
      </c>
      <c r="X7" s="1"/>
      <c r="Y7" s="1"/>
      <c r="Z7" s="1"/>
      <c r="AA7" s="1"/>
      <c r="AB7" s="1"/>
    </row>
    <row r="8" spans="1:23" ht="13.5" thickBot="1">
      <c r="A8" s="41" t="s">
        <v>30</v>
      </c>
      <c r="B8" s="31" t="s">
        <v>1</v>
      </c>
      <c r="C8" s="71">
        <v>42014.56</v>
      </c>
      <c r="D8" s="75">
        <v>55424.48</v>
      </c>
      <c r="E8" s="71">
        <v>55343.52</v>
      </c>
      <c r="F8" s="71">
        <v>55255.2</v>
      </c>
      <c r="G8" s="84">
        <v>55255.2</v>
      </c>
      <c r="H8" s="71">
        <v>55196.32</v>
      </c>
      <c r="I8" s="71">
        <v>55166.88</v>
      </c>
      <c r="J8" s="7">
        <v>4597.24</v>
      </c>
      <c r="K8" s="8">
        <v>4597.24</v>
      </c>
      <c r="L8" s="8">
        <v>4597.24</v>
      </c>
      <c r="M8" s="8">
        <v>4597.24</v>
      </c>
      <c r="N8" s="8">
        <v>4597.24</v>
      </c>
      <c r="O8" s="8">
        <v>4597.24</v>
      </c>
      <c r="P8" s="8">
        <v>4597.24</v>
      </c>
      <c r="Q8" s="8">
        <v>4597.24</v>
      </c>
      <c r="R8" s="8">
        <v>4597.24</v>
      </c>
      <c r="S8" s="8">
        <v>4597.24</v>
      </c>
      <c r="T8" s="8">
        <v>4597.24</v>
      </c>
      <c r="U8" s="17">
        <v>4597.24</v>
      </c>
      <c r="V8" s="64">
        <f>SUM(J8:U8)</f>
        <v>55166.87999999998</v>
      </c>
      <c r="W8" s="66">
        <f>SUM(C8:U8)</f>
        <v>428823.0399999999</v>
      </c>
    </row>
    <row r="9" spans="1:23" ht="12.75">
      <c r="A9" s="41"/>
      <c r="B9" s="31" t="s">
        <v>77</v>
      </c>
      <c r="C9" s="84"/>
      <c r="D9" s="75"/>
      <c r="E9" s="84"/>
      <c r="F9" s="84"/>
      <c r="G9" s="84"/>
      <c r="H9" s="84"/>
      <c r="I9" s="84"/>
      <c r="J9" s="7">
        <f>410.06+23.53</f>
        <v>433.59000000000003</v>
      </c>
      <c r="K9" s="8">
        <f>410.06+23.53</f>
        <v>433.59000000000003</v>
      </c>
      <c r="L9" s="8">
        <f>410.06+23.53</f>
        <v>433.59000000000003</v>
      </c>
      <c r="M9" s="8">
        <f>410.06+23.53</f>
        <v>433.59000000000003</v>
      </c>
      <c r="N9" s="8">
        <f>410.06+23.53</f>
        <v>433.59000000000003</v>
      </c>
      <c r="O9" s="8">
        <f>282.96+45.58+27.4</f>
        <v>355.93999999999994</v>
      </c>
      <c r="P9" s="8">
        <f aca="true" t="shared" si="0" ref="P9:U9">296.77+46.55+27.75</f>
        <v>371.07</v>
      </c>
      <c r="Q9" s="8">
        <f t="shared" si="0"/>
        <v>371.07</v>
      </c>
      <c r="R9" s="8">
        <f t="shared" si="0"/>
        <v>371.07</v>
      </c>
      <c r="S9" s="8">
        <f t="shared" si="0"/>
        <v>371.07</v>
      </c>
      <c r="T9" s="8">
        <f t="shared" si="0"/>
        <v>371.07</v>
      </c>
      <c r="U9" s="17">
        <f t="shared" si="0"/>
        <v>371.07</v>
      </c>
      <c r="V9" s="64">
        <f>SUM(J9:U9)</f>
        <v>4750.31</v>
      </c>
      <c r="W9" s="66">
        <f>SUM(C9:U9)</f>
        <v>4750.31</v>
      </c>
    </row>
    <row r="10" spans="1:23" ht="12.75">
      <c r="A10" s="41" t="s">
        <v>31</v>
      </c>
      <c r="B10" s="32" t="s">
        <v>2</v>
      </c>
      <c r="C10" s="72">
        <v>35892.72</v>
      </c>
      <c r="D10" s="76">
        <v>51303.41</v>
      </c>
      <c r="E10" s="72">
        <v>55141.05</v>
      </c>
      <c r="F10" s="72">
        <v>38097.73</v>
      </c>
      <c r="G10" s="72">
        <v>34209.97</v>
      </c>
      <c r="H10" s="72">
        <v>49992.8</v>
      </c>
      <c r="I10" s="72">
        <v>41855.1</v>
      </c>
      <c r="J10" s="9">
        <v>2504.03</v>
      </c>
      <c r="K10" s="10">
        <v>5723.22</v>
      </c>
      <c r="L10" s="10">
        <v>5657.02</v>
      </c>
      <c r="M10" s="10">
        <v>4310.6</v>
      </c>
      <c r="N10" s="10">
        <v>5601.28</v>
      </c>
      <c r="O10" s="10">
        <v>44117.77</v>
      </c>
      <c r="P10" s="10">
        <v>4254.17</v>
      </c>
      <c r="Q10" s="10">
        <v>3784.77</v>
      </c>
      <c r="R10" s="10">
        <v>6218.56</v>
      </c>
      <c r="S10" s="10">
        <v>5437.03</v>
      </c>
      <c r="T10" s="10">
        <v>4364.06</v>
      </c>
      <c r="U10" s="18">
        <v>10541.88</v>
      </c>
      <c r="V10" s="59">
        <f>SUM(J10:U10)</f>
        <v>102514.39</v>
      </c>
      <c r="W10" s="28">
        <f>SUM(C10:U10)</f>
        <v>409007.17000000004</v>
      </c>
    </row>
    <row r="11" spans="1:23" ht="15" customHeight="1" thickBot="1">
      <c r="A11" s="41" t="s">
        <v>32</v>
      </c>
      <c r="B11" s="33" t="s">
        <v>64</v>
      </c>
      <c r="C11" s="63">
        <f aca="true" t="shared" si="1" ref="C11:J11">SUM(C10/C8*100)</f>
        <v>85.42924167241071</v>
      </c>
      <c r="D11" s="51">
        <f t="shared" si="1"/>
        <v>92.56453105198281</v>
      </c>
      <c r="E11" s="63">
        <f t="shared" si="1"/>
        <v>99.63415771168876</v>
      </c>
      <c r="F11" s="63">
        <f t="shared" si="1"/>
        <v>68.94867813346075</v>
      </c>
      <c r="G11" s="63">
        <f t="shared" si="1"/>
        <v>61.91267066267066</v>
      </c>
      <c r="H11" s="63">
        <f>SUM(H10/H8*100)</f>
        <v>90.57270484698981</v>
      </c>
      <c r="I11" s="63">
        <f>SUM(I10/I8*100)</f>
        <v>75.86997850884444</v>
      </c>
      <c r="J11" s="22">
        <f t="shared" si="1"/>
        <v>54.4681156519999</v>
      </c>
      <c r="K11" s="22">
        <f aca="true" t="shared" si="2" ref="K11:U11">SUM(K10/K8*100)</f>
        <v>124.49252159991649</v>
      </c>
      <c r="L11" s="22">
        <f t="shared" si="2"/>
        <v>123.05252716847501</v>
      </c>
      <c r="M11" s="22">
        <f t="shared" si="2"/>
        <v>93.7649546249489</v>
      </c>
      <c r="N11" s="22">
        <f t="shared" si="2"/>
        <v>121.84006055807397</v>
      </c>
      <c r="O11" s="22">
        <f t="shared" si="2"/>
        <v>959.6577511724427</v>
      </c>
      <c r="P11" s="22">
        <f t="shared" si="2"/>
        <v>92.53747900914462</v>
      </c>
      <c r="Q11" s="22">
        <f t="shared" si="2"/>
        <v>82.32700489859133</v>
      </c>
      <c r="R11" s="22">
        <f t="shared" si="2"/>
        <v>135.26724730490469</v>
      </c>
      <c r="S11" s="22">
        <f t="shared" si="2"/>
        <v>118.26726470665008</v>
      </c>
      <c r="T11" s="22">
        <f t="shared" si="2"/>
        <v>94.92782626097399</v>
      </c>
      <c r="U11" s="51">
        <f t="shared" si="2"/>
        <v>229.30888968163507</v>
      </c>
      <c r="V11" s="65">
        <f>SUM(V10/V8*100)</f>
        <v>185.82597021981312</v>
      </c>
      <c r="W11" s="65">
        <f>SUM(W10/W8*100)</f>
        <v>95.37900995245035</v>
      </c>
    </row>
    <row r="12" spans="1:23" ht="13.5" thickBot="1">
      <c r="A12" s="41" t="s">
        <v>33</v>
      </c>
      <c r="B12" s="34" t="s">
        <v>3</v>
      </c>
      <c r="C12" s="60">
        <f aca="true" t="shared" si="3" ref="C12:J12">SUM(C13:C25)</f>
        <v>28820.06</v>
      </c>
      <c r="D12" s="19">
        <f t="shared" si="3"/>
        <v>48993.07</v>
      </c>
      <c r="E12" s="60">
        <f t="shared" si="3"/>
        <v>64806.62</v>
      </c>
      <c r="F12" s="60">
        <f t="shared" si="3"/>
        <v>44160.52</v>
      </c>
      <c r="G12" s="60">
        <f t="shared" si="3"/>
        <v>45269.45</v>
      </c>
      <c r="H12" s="60">
        <f>SUM(H13:H25)</f>
        <v>62414.66</v>
      </c>
      <c r="I12" s="60">
        <f>SUM(I13:I25)</f>
        <v>53146.43</v>
      </c>
      <c r="J12" s="13">
        <f t="shared" si="3"/>
        <v>4591.58</v>
      </c>
      <c r="K12" s="13">
        <f aca="true" t="shared" si="4" ref="K12:U12">SUM(K13:K25)</f>
        <v>4225.53</v>
      </c>
      <c r="L12" s="13">
        <f t="shared" si="4"/>
        <v>4587.459999999999</v>
      </c>
      <c r="M12" s="13">
        <f t="shared" si="4"/>
        <v>4347.66</v>
      </c>
      <c r="N12" s="13">
        <f t="shared" si="4"/>
        <v>4956.37</v>
      </c>
      <c r="O12" s="13">
        <f t="shared" si="4"/>
        <v>5755.43</v>
      </c>
      <c r="P12" s="13">
        <f t="shared" si="4"/>
        <v>4331.21</v>
      </c>
      <c r="Q12" s="13">
        <f t="shared" si="4"/>
        <v>4794.439999999999</v>
      </c>
      <c r="R12" s="13">
        <f t="shared" si="4"/>
        <v>4179.55</v>
      </c>
      <c r="S12" s="13">
        <f t="shared" si="4"/>
        <v>4186.54</v>
      </c>
      <c r="T12" s="13">
        <f t="shared" si="4"/>
        <v>4234.55</v>
      </c>
      <c r="U12" s="19">
        <f t="shared" si="4"/>
        <v>4639.81</v>
      </c>
      <c r="V12" s="60">
        <f>SUM(J12:U12)</f>
        <v>54830.13</v>
      </c>
      <c r="W12" s="50">
        <f>SUM(C12:U12)</f>
        <v>402440.94</v>
      </c>
    </row>
    <row r="13" spans="1:23" ht="13.5" thickBot="1">
      <c r="A13" s="41" t="s">
        <v>34</v>
      </c>
      <c r="B13" s="35" t="s">
        <v>5</v>
      </c>
      <c r="C13" s="47">
        <v>4411.09</v>
      </c>
      <c r="D13" s="77">
        <v>6554.62</v>
      </c>
      <c r="E13" s="47">
        <v>6972.6</v>
      </c>
      <c r="F13" s="47">
        <v>6963.53</v>
      </c>
      <c r="G13" s="47">
        <v>8980.89</v>
      </c>
      <c r="H13" s="47">
        <v>8603.98</v>
      </c>
      <c r="I13" s="47">
        <v>10106.97</v>
      </c>
      <c r="J13" s="7">
        <f>848+10.25</f>
        <v>858.25</v>
      </c>
      <c r="K13" s="8">
        <f>848+48.18</f>
        <v>896.18</v>
      </c>
      <c r="L13" s="8">
        <f>848+28.29</f>
        <v>876.29</v>
      </c>
      <c r="M13" s="8">
        <f>848+89.66</f>
        <v>937.66</v>
      </c>
      <c r="N13" s="8">
        <f>848+44.76</f>
        <v>892.76</v>
      </c>
      <c r="O13" s="8">
        <f>848+27.36</f>
        <v>875.36</v>
      </c>
      <c r="P13" s="8">
        <f>689+35.49</f>
        <v>724.49</v>
      </c>
      <c r="Q13" s="8">
        <f>689+41.27</f>
        <v>730.27</v>
      </c>
      <c r="R13" s="8">
        <f>689+42.69</f>
        <v>731.69</v>
      </c>
      <c r="S13" s="8">
        <f>689+44.38</f>
        <v>733.38</v>
      </c>
      <c r="T13" s="8">
        <f>689+38.78</f>
        <v>727.78</v>
      </c>
      <c r="U13" s="17">
        <f>689+38.85</f>
        <v>727.85</v>
      </c>
      <c r="V13" s="60">
        <f aca="true" t="shared" si="5" ref="V13:V27">SUM(J13:U13)</f>
        <v>9711.96</v>
      </c>
      <c r="W13" s="50">
        <f>SUM(C13:U13)</f>
        <v>62305.63999999999</v>
      </c>
    </row>
    <row r="14" spans="1:23" ht="12" customHeight="1" thickBot="1">
      <c r="A14" s="41" t="s">
        <v>35</v>
      </c>
      <c r="B14" s="36" t="s">
        <v>69</v>
      </c>
      <c r="C14" s="48">
        <v>8131.18</v>
      </c>
      <c r="D14" s="78">
        <v>5489.06</v>
      </c>
      <c r="E14" s="48">
        <f>872.51+1375</f>
        <v>2247.51</v>
      </c>
      <c r="F14" s="48">
        <v>1052.64</v>
      </c>
      <c r="G14" s="48">
        <v>933.34</v>
      </c>
      <c r="H14" s="48">
        <v>1607.45</v>
      </c>
      <c r="I14" s="48">
        <v>2725.75</v>
      </c>
      <c r="J14" s="9"/>
      <c r="K14" s="10"/>
      <c r="L14" s="10">
        <v>197.84</v>
      </c>
      <c r="M14" s="10"/>
      <c r="N14" s="10">
        <v>400</v>
      </c>
      <c r="O14" s="10"/>
      <c r="P14" s="10"/>
      <c r="Q14" s="10"/>
      <c r="R14" s="10"/>
      <c r="S14" s="10"/>
      <c r="T14" s="10"/>
      <c r="U14" s="18"/>
      <c r="V14" s="60">
        <f t="shared" si="5"/>
        <v>597.84</v>
      </c>
      <c r="W14" s="50">
        <f aca="true" t="shared" si="6" ref="W14:W25">SUM(C14:U14)</f>
        <v>22784.770000000004</v>
      </c>
    </row>
    <row r="15" spans="1:23" ht="15.75" customHeight="1" thickBot="1">
      <c r="A15" s="41" t="s">
        <v>36</v>
      </c>
      <c r="B15" s="33" t="s">
        <v>6</v>
      </c>
      <c r="C15" s="48">
        <v>0</v>
      </c>
      <c r="D15" s="78">
        <v>2451.57</v>
      </c>
      <c r="E15" s="48">
        <v>0</v>
      </c>
      <c r="F15" s="48">
        <v>0</v>
      </c>
      <c r="G15" s="48"/>
      <c r="H15" s="48">
        <v>4239.7</v>
      </c>
      <c r="I15" s="48">
        <v>0</v>
      </c>
      <c r="J15" s="9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8"/>
      <c r="V15" s="60">
        <f>SUM(J15:U15)</f>
        <v>0</v>
      </c>
      <c r="W15" s="50">
        <f t="shared" si="6"/>
        <v>6691.27</v>
      </c>
    </row>
    <row r="16" spans="1:23" ht="14.25" customHeight="1" thickBot="1">
      <c r="A16" s="41" t="s">
        <v>37</v>
      </c>
      <c r="B16" s="33" t="s">
        <v>51</v>
      </c>
      <c r="C16" s="48">
        <v>0</v>
      </c>
      <c r="D16" s="78">
        <v>628.26</v>
      </c>
      <c r="E16" s="48">
        <v>0</v>
      </c>
      <c r="F16" s="48">
        <v>0</v>
      </c>
      <c r="G16" s="48"/>
      <c r="H16" s="48">
        <v>0</v>
      </c>
      <c r="I16" s="48">
        <v>300</v>
      </c>
      <c r="J16" s="9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8"/>
      <c r="V16" s="60">
        <f>SUM(J16:U16)</f>
        <v>0</v>
      </c>
      <c r="W16" s="50">
        <f t="shared" si="6"/>
        <v>928.26</v>
      </c>
    </row>
    <row r="17" spans="1:23" ht="15.75" customHeight="1" thickBot="1">
      <c r="A17" s="41" t="s">
        <v>38</v>
      </c>
      <c r="B17" s="36" t="s">
        <v>57</v>
      </c>
      <c r="C17" s="48">
        <v>312.12</v>
      </c>
      <c r="D17" s="78">
        <v>1393.13</v>
      </c>
      <c r="E17" s="48">
        <v>19456.38</v>
      </c>
      <c r="F17" s="48">
        <v>967.12</v>
      </c>
      <c r="G17" s="48">
        <v>80.81</v>
      </c>
      <c r="H17" s="48">
        <v>6011.43</v>
      </c>
      <c r="I17" s="48">
        <v>3196</v>
      </c>
      <c r="J17" s="9"/>
      <c r="K17" s="10"/>
      <c r="L17" s="10"/>
      <c r="M17" s="10"/>
      <c r="N17" s="10"/>
      <c r="O17" s="10"/>
      <c r="P17" s="10"/>
      <c r="Q17" s="10">
        <f>525.53+95</f>
        <v>620.53</v>
      </c>
      <c r="R17" s="10"/>
      <c r="S17" s="10"/>
      <c r="T17" s="10"/>
      <c r="U17" s="18">
        <v>360</v>
      </c>
      <c r="V17" s="60">
        <f t="shared" si="5"/>
        <v>980.53</v>
      </c>
      <c r="W17" s="50">
        <f t="shared" si="6"/>
        <v>32397.52</v>
      </c>
    </row>
    <row r="18" spans="1:23" ht="23.25" customHeight="1" thickBot="1">
      <c r="A18" s="41" t="s">
        <v>39</v>
      </c>
      <c r="B18" s="36" t="s">
        <v>56</v>
      </c>
      <c r="C18" s="48">
        <v>0</v>
      </c>
      <c r="D18" s="78">
        <v>0</v>
      </c>
      <c r="E18" s="48">
        <v>256</v>
      </c>
      <c r="F18" s="48">
        <v>0</v>
      </c>
      <c r="G18" s="48">
        <v>658.15</v>
      </c>
      <c r="H18" s="48">
        <v>2000</v>
      </c>
      <c r="I18" s="48">
        <v>51</v>
      </c>
      <c r="J18" s="9">
        <v>268.15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8">
        <v>38.15</v>
      </c>
      <c r="V18" s="60">
        <f>SUM(J18:U18)</f>
        <v>306.29999999999995</v>
      </c>
      <c r="W18" s="50">
        <f>SUM(C18:U18)</f>
        <v>3271.4500000000003</v>
      </c>
    </row>
    <row r="19" spans="1:23" ht="14.25" customHeight="1" thickBot="1">
      <c r="A19" s="41" t="s">
        <v>40</v>
      </c>
      <c r="B19" s="36" t="s">
        <v>78</v>
      </c>
      <c r="C19" s="48">
        <v>937.2</v>
      </c>
      <c r="D19" s="78">
        <v>1737.89</v>
      </c>
      <c r="E19" s="48">
        <v>773.59</v>
      </c>
      <c r="F19" s="48">
        <v>0</v>
      </c>
      <c r="G19" s="48"/>
      <c r="H19" s="48">
        <v>0</v>
      </c>
      <c r="I19" s="48">
        <v>0</v>
      </c>
      <c r="J19" s="9">
        <v>410.06</v>
      </c>
      <c r="K19" s="10">
        <v>410.06</v>
      </c>
      <c r="L19" s="10">
        <v>410.06</v>
      </c>
      <c r="M19" s="10">
        <v>410.06</v>
      </c>
      <c r="N19" s="10">
        <v>410.06</v>
      </c>
      <c r="O19" s="10">
        <v>282.96</v>
      </c>
      <c r="P19" s="10">
        <v>296.77</v>
      </c>
      <c r="Q19" s="10">
        <v>296.77</v>
      </c>
      <c r="R19" s="10">
        <v>296.77</v>
      </c>
      <c r="S19" s="10">
        <v>296.77</v>
      </c>
      <c r="T19" s="10">
        <v>296.77</v>
      </c>
      <c r="U19" s="18">
        <v>296.77</v>
      </c>
      <c r="V19" s="60">
        <f t="shared" si="5"/>
        <v>4113.88</v>
      </c>
      <c r="W19" s="50">
        <f t="shared" si="6"/>
        <v>7562.560000000003</v>
      </c>
    </row>
    <row r="20" spans="1:23" ht="12" customHeight="1" thickBot="1">
      <c r="A20" s="41" t="s">
        <v>41</v>
      </c>
      <c r="B20" s="36" t="s">
        <v>7</v>
      </c>
      <c r="C20" s="48">
        <v>330.59</v>
      </c>
      <c r="D20" s="78">
        <v>375.89</v>
      </c>
      <c r="E20" s="48">
        <v>336.9</v>
      </c>
      <c r="F20" s="48">
        <v>256.49</v>
      </c>
      <c r="G20" s="48"/>
      <c r="H20" s="48">
        <v>0</v>
      </c>
      <c r="I20" s="48">
        <v>0</v>
      </c>
      <c r="J20" s="9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8"/>
      <c r="V20" s="60">
        <f t="shared" si="5"/>
        <v>0</v>
      </c>
      <c r="W20" s="50">
        <f t="shared" si="6"/>
        <v>1299.8700000000001</v>
      </c>
    </row>
    <row r="21" spans="1:23" ht="34.5" customHeight="1" thickBot="1">
      <c r="A21" s="41" t="s">
        <v>58</v>
      </c>
      <c r="B21" s="36" t="s">
        <v>70</v>
      </c>
      <c r="C21" s="48">
        <v>687.65</v>
      </c>
      <c r="D21" s="78">
        <v>2436.55</v>
      </c>
      <c r="E21" s="48">
        <v>3917.09</v>
      </c>
      <c r="F21" s="48">
        <v>3092.89</v>
      </c>
      <c r="G21" s="48">
        <v>2114.18</v>
      </c>
      <c r="H21" s="48">
        <v>2402.77</v>
      </c>
      <c r="I21" s="48">
        <v>2539.55</v>
      </c>
      <c r="J21" s="9">
        <v>215.02</v>
      </c>
      <c r="K21" s="10">
        <v>201.05</v>
      </c>
      <c r="L21" s="10">
        <v>249.93</v>
      </c>
      <c r="M21" s="10">
        <v>185.75</v>
      </c>
      <c r="N21" s="10">
        <v>197.82</v>
      </c>
      <c r="O21" s="10">
        <v>222.46</v>
      </c>
      <c r="P21" s="10">
        <v>180.3</v>
      </c>
      <c r="Q21" s="10">
        <v>208.55</v>
      </c>
      <c r="R21" s="10">
        <v>196.16</v>
      </c>
      <c r="S21" s="10">
        <v>250.27</v>
      </c>
      <c r="T21" s="10">
        <v>258.88</v>
      </c>
      <c r="U21" s="18">
        <v>213.92</v>
      </c>
      <c r="V21" s="60">
        <f t="shared" si="5"/>
        <v>2580.11</v>
      </c>
      <c r="W21" s="50">
        <f t="shared" si="6"/>
        <v>19770.789999999997</v>
      </c>
    </row>
    <row r="22" spans="1:23" ht="24" customHeight="1" thickBot="1">
      <c r="A22" s="41" t="s">
        <v>59</v>
      </c>
      <c r="B22" s="36" t="s">
        <v>71</v>
      </c>
      <c r="C22" s="48">
        <v>1131.17</v>
      </c>
      <c r="D22" s="78">
        <v>1602.74</v>
      </c>
      <c r="E22" s="48">
        <v>397.47</v>
      </c>
      <c r="F22" s="48">
        <v>282.08</v>
      </c>
      <c r="G22" s="48">
        <v>628.68</v>
      </c>
      <c r="H22" s="48">
        <v>414.09</v>
      </c>
      <c r="I22" s="48">
        <v>361.27</v>
      </c>
      <c r="J22" s="9">
        <v>47.25</v>
      </c>
      <c r="K22" s="10">
        <v>14.54</v>
      </c>
      <c r="L22" s="10">
        <v>15.61</v>
      </c>
      <c r="M22" s="10">
        <v>14.43</v>
      </c>
      <c r="N22" s="10">
        <v>14.01</v>
      </c>
      <c r="O22" s="10">
        <v>21.78</v>
      </c>
      <c r="P22" s="10">
        <v>20.46</v>
      </c>
      <c r="Q22" s="10">
        <v>62.98</v>
      </c>
      <c r="R22" s="10">
        <v>14.7</v>
      </c>
      <c r="S22" s="10">
        <v>21.74</v>
      </c>
      <c r="T22" s="10">
        <v>14.7</v>
      </c>
      <c r="U22" s="18">
        <v>20.04</v>
      </c>
      <c r="V22" s="60">
        <f t="shared" si="5"/>
        <v>282.24</v>
      </c>
      <c r="W22" s="50">
        <f t="shared" si="6"/>
        <v>5099.739999999999</v>
      </c>
    </row>
    <row r="23" spans="1:23" ht="32.25" customHeight="1" thickBot="1">
      <c r="A23" s="41" t="s">
        <v>60</v>
      </c>
      <c r="B23" s="36" t="s">
        <v>72</v>
      </c>
      <c r="C23" s="48">
        <v>699.35</v>
      </c>
      <c r="D23" s="78">
        <v>2365.46</v>
      </c>
      <c r="E23" s="48">
        <v>2065.56</v>
      </c>
      <c r="F23" s="48">
        <v>2767.21</v>
      </c>
      <c r="G23" s="48">
        <v>2509.05</v>
      </c>
      <c r="H23" s="48">
        <v>3045.81</v>
      </c>
      <c r="I23" s="48">
        <v>2642.6</v>
      </c>
      <c r="J23" s="9">
        <f>9.48+66.01+108.05</f>
        <v>183.54000000000002</v>
      </c>
      <c r="K23" s="10">
        <f>9.44+78.22+66.26</f>
        <v>153.92000000000002</v>
      </c>
      <c r="L23" s="10">
        <f>9.29+86.94+116.37</f>
        <v>212.6</v>
      </c>
      <c r="M23" s="10">
        <f>8.77+79.68+112.01</f>
        <v>200.46</v>
      </c>
      <c r="N23" s="10">
        <f>9.01+96.63+274.03</f>
        <v>379.66999999999996</v>
      </c>
      <c r="O23" s="10">
        <f>133.14+10.57+79.13</f>
        <v>222.83999999999997</v>
      </c>
      <c r="P23" s="10">
        <f>11.57+69.64+124.34</f>
        <v>205.55</v>
      </c>
      <c r="Q23" s="10">
        <f>12.54+64.26+148.2</f>
        <v>225</v>
      </c>
      <c r="R23" s="10">
        <f>127.23+10.08+81.5</f>
        <v>218.81</v>
      </c>
      <c r="S23" s="10">
        <f>12.95+92.1+134.36</f>
        <v>239.41000000000003</v>
      </c>
      <c r="T23" s="10">
        <f>11.89+107.33+212.09</f>
        <v>331.31</v>
      </c>
      <c r="U23" s="18">
        <f>12.25+108.14+89.98</f>
        <v>210.37</v>
      </c>
      <c r="V23" s="60">
        <f t="shared" si="5"/>
        <v>2783.4799999999996</v>
      </c>
      <c r="W23" s="50">
        <f t="shared" si="6"/>
        <v>18878.519999999997</v>
      </c>
    </row>
    <row r="24" spans="1:23" ht="15.75" customHeight="1" thickBot="1">
      <c r="A24" s="41" t="s">
        <v>61</v>
      </c>
      <c r="B24" s="36" t="s">
        <v>11</v>
      </c>
      <c r="C24" s="48">
        <v>10739.71</v>
      </c>
      <c r="D24" s="78">
        <v>20606.61</v>
      </c>
      <c r="E24" s="48">
        <v>25951.39</v>
      </c>
      <c r="F24" s="48">
        <v>27339.99</v>
      </c>
      <c r="G24" s="48">
        <v>28061.07</v>
      </c>
      <c r="H24" s="48">
        <v>32201.71</v>
      </c>
      <c r="I24" s="48">
        <v>29642.82</v>
      </c>
      <c r="J24" s="9">
        <f>4591.58-2076.82</f>
        <v>2514.7599999999998</v>
      </c>
      <c r="K24" s="10">
        <f>4225.53-1891.86</f>
        <v>2333.67</v>
      </c>
      <c r="L24" s="10">
        <f>4587.46-2175.94</f>
        <v>2411.52</v>
      </c>
      <c r="M24" s="10">
        <f>4347.66-1911.13</f>
        <v>2436.5299999999997</v>
      </c>
      <c r="N24" s="10">
        <f>4956.37-2505.83</f>
        <v>2450.54</v>
      </c>
      <c r="O24" s="10">
        <f>5755.43-3291.29</f>
        <v>2464.1400000000003</v>
      </c>
      <c r="P24" s="10">
        <f>4331.21-1588.2</f>
        <v>2743.01</v>
      </c>
      <c r="Q24" s="10">
        <f>4794.44-2287.01</f>
        <v>2507.4299999999994</v>
      </c>
      <c r="R24" s="10">
        <f>4179.55-1692.94</f>
        <v>2486.61</v>
      </c>
      <c r="S24" s="10">
        <f>4186.54-1746.88</f>
        <v>2439.66</v>
      </c>
      <c r="T24" s="10">
        <f>4234.55-1794.23</f>
        <v>2440.32</v>
      </c>
      <c r="U24" s="18">
        <f>4639.81-2265.16</f>
        <v>2374.6500000000005</v>
      </c>
      <c r="V24" s="60">
        <f t="shared" si="5"/>
        <v>29602.84</v>
      </c>
      <c r="W24" s="50">
        <f t="shared" si="6"/>
        <v>204146.14</v>
      </c>
    </row>
    <row r="25" spans="1:23" ht="13.5" customHeight="1" thickBot="1">
      <c r="A25" s="41" t="s">
        <v>63</v>
      </c>
      <c r="B25" s="37" t="s">
        <v>4</v>
      </c>
      <c r="C25" s="49">
        <v>1440</v>
      </c>
      <c r="D25" s="79">
        <v>3351.29</v>
      </c>
      <c r="E25" s="49">
        <v>2432.13</v>
      </c>
      <c r="F25" s="49">
        <v>1438.57</v>
      </c>
      <c r="G25" s="49">
        <v>1303.28</v>
      </c>
      <c r="H25" s="49">
        <v>1887.72</v>
      </c>
      <c r="I25" s="49">
        <v>1580.47</v>
      </c>
      <c r="J25" s="11">
        <v>94.55</v>
      </c>
      <c r="K25" s="12">
        <f>5.96+210.15</f>
        <v>216.11</v>
      </c>
      <c r="L25" s="12">
        <f>10.16+203.45</f>
        <v>213.60999999999999</v>
      </c>
      <c r="M25" s="12">
        <f>4.15+158.62</f>
        <v>162.77</v>
      </c>
      <c r="N25" s="12">
        <f>8.35+203.16</f>
        <v>211.51</v>
      </c>
      <c r="O25" s="12">
        <f>15.9+1649.99</f>
        <v>1665.89</v>
      </c>
      <c r="P25" s="12">
        <f>10.97+149.66</f>
        <v>160.63</v>
      </c>
      <c r="Q25" s="12">
        <f>9.99+132.92</f>
        <v>142.91</v>
      </c>
      <c r="R25" s="12">
        <f>17.5+217.31</f>
        <v>234.81</v>
      </c>
      <c r="S25" s="12">
        <f>14.81+190.5</f>
        <v>205.31</v>
      </c>
      <c r="T25" s="12">
        <f>11.78+153.01</f>
        <v>164.79</v>
      </c>
      <c r="U25" s="20">
        <f>12.96+385.1</f>
        <v>398.06</v>
      </c>
      <c r="V25" s="60">
        <f t="shared" si="5"/>
        <v>3870.95</v>
      </c>
      <c r="W25" s="50">
        <f t="shared" si="6"/>
        <v>17304.410000000003</v>
      </c>
    </row>
    <row r="26" spans="1:23" ht="13.5" customHeight="1" thickBot="1">
      <c r="A26" s="41"/>
      <c r="B26" s="44" t="s">
        <v>67</v>
      </c>
      <c r="C26" s="81"/>
      <c r="D26" s="82"/>
      <c r="E26" s="81"/>
      <c r="F26" s="81"/>
      <c r="G26" s="83">
        <f>G8*5%</f>
        <v>2762.76</v>
      </c>
      <c r="H26" s="85">
        <f>H8*5%</f>
        <v>2759.8160000000003</v>
      </c>
      <c r="I26" s="85">
        <f>I8*5%</f>
        <v>2758.344</v>
      </c>
      <c r="J26" s="85">
        <f>J8*5%</f>
        <v>229.862</v>
      </c>
      <c r="K26" s="85">
        <f aca="true" t="shared" si="7" ref="K26:U26">K8*5%</f>
        <v>229.862</v>
      </c>
      <c r="L26" s="85">
        <f t="shared" si="7"/>
        <v>229.862</v>
      </c>
      <c r="M26" s="85">
        <f t="shared" si="7"/>
        <v>229.862</v>
      </c>
      <c r="N26" s="85">
        <f t="shared" si="7"/>
        <v>229.862</v>
      </c>
      <c r="O26" s="85">
        <f t="shared" si="7"/>
        <v>229.862</v>
      </c>
      <c r="P26" s="85">
        <f t="shared" si="7"/>
        <v>229.862</v>
      </c>
      <c r="Q26" s="85">
        <f t="shared" si="7"/>
        <v>229.862</v>
      </c>
      <c r="R26" s="85">
        <f t="shared" si="7"/>
        <v>229.862</v>
      </c>
      <c r="S26" s="85">
        <f t="shared" si="7"/>
        <v>229.862</v>
      </c>
      <c r="T26" s="85">
        <f t="shared" si="7"/>
        <v>229.862</v>
      </c>
      <c r="U26" s="85">
        <f t="shared" si="7"/>
        <v>229.862</v>
      </c>
      <c r="V26" s="87">
        <f t="shared" si="5"/>
        <v>2758.3440000000005</v>
      </c>
      <c r="W26" s="70"/>
    </row>
    <row r="27" spans="1:23" ht="13.5" customHeight="1" thickBot="1">
      <c r="A27" s="93" t="s">
        <v>62</v>
      </c>
      <c r="B27" s="68" t="s">
        <v>53</v>
      </c>
      <c r="C27" s="69"/>
      <c r="D27" s="80"/>
      <c r="E27" s="69"/>
      <c r="F27" s="69"/>
      <c r="G27" s="69"/>
      <c r="H27" s="69"/>
      <c r="I27" s="69"/>
      <c r="J27" s="86">
        <f>SUM(J8+J9-J12)-J26</f>
        <v>209.388</v>
      </c>
      <c r="K27" s="86">
        <f aca="true" t="shared" si="8" ref="K27:U27">SUM(K8+K9-K12)-K26</f>
        <v>575.4380000000002</v>
      </c>
      <c r="L27" s="86">
        <f t="shared" si="8"/>
        <v>213.5080000000008</v>
      </c>
      <c r="M27" s="86">
        <f t="shared" si="8"/>
        <v>453.3080000000001</v>
      </c>
      <c r="N27" s="86">
        <f t="shared" si="8"/>
        <v>-155.40199999999996</v>
      </c>
      <c r="O27" s="86">
        <f t="shared" si="8"/>
        <v>-1032.112000000001</v>
      </c>
      <c r="P27" s="86">
        <f t="shared" si="8"/>
        <v>407.2379999999995</v>
      </c>
      <c r="Q27" s="86">
        <f t="shared" si="8"/>
        <v>-55.991999999999194</v>
      </c>
      <c r="R27" s="86">
        <f t="shared" si="8"/>
        <v>558.8979999999993</v>
      </c>
      <c r="S27" s="86">
        <f t="shared" si="8"/>
        <v>551.9079999999996</v>
      </c>
      <c r="T27" s="86">
        <f t="shared" si="8"/>
        <v>503.89799999999934</v>
      </c>
      <c r="U27" s="86">
        <f t="shared" si="8"/>
        <v>98.6379999999991</v>
      </c>
      <c r="V27" s="94">
        <f t="shared" si="5"/>
        <v>2328.7159999999976</v>
      </c>
      <c r="W27" s="70"/>
    </row>
    <row r="28" spans="1:23" ht="25.5" customHeight="1" thickBot="1">
      <c r="A28" s="67" t="s">
        <v>42</v>
      </c>
      <c r="B28" s="101" t="s">
        <v>25</v>
      </c>
      <c r="C28" s="44">
        <v>13194.5</v>
      </c>
      <c r="D28" s="19">
        <f>SUM(D8-D12)</f>
        <v>6431.4100000000035</v>
      </c>
      <c r="E28" s="60">
        <f>SUM(E8-E12)</f>
        <v>-9463.100000000006</v>
      </c>
      <c r="F28" s="60">
        <f>SUM(F8-F12)</f>
        <v>11094.68</v>
      </c>
      <c r="G28" s="60">
        <f>SUM(G8-G12)-G26</f>
        <v>7222.99</v>
      </c>
      <c r="H28" s="87">
        <f>SUM(H8-H12)-H26</f>
        <v>-9978.156000000004</v>
      </c>
      <c r="I28" s="87">
        <f>SUM(I8-I12)-I26</f>
        <v>-737.894000000003</v>
      </c>
      <c r="J28" s="102">
        <f>SUM(J8+J9-J12)-J26</f>
        <v>209.388</v>
      </c>
      <c r="K28" s="88">
        <f>SUM(K27+J28)</f>
        <v>784.8260000000002</v>
      </c>
      <c r="L28" s="88">
        <f aca="true" t="shared" si="9" ref="L28:U28">SUM(L27+K28)</f>
        <v>998.3340000000011</v>
      </c>
      <c r="M28" s="88">
        <f t="shared" si="9"/>
        <v>1451.6420000000012</v>
      </c>
      <c r="N28" s="88">
        <f t="shared" si="9"/>
        <v>1296.2400000000011</v>
      </c>
      <c r="O28" s="88">
        <f t="shared" si="9"/>
        <v>264.12800000000016</v>
      </c>
      <c r="P28" s="88">
        <f t="shared" si="9"/>
        <v>671.3659999999996</v>
      </c>
      <c r="Q28" s="88">
        <f t="shared" si="9"/>
        <v>615.3740000000005</v>
      </c>
      <c r="R28" s="88">
        <f t="shared" si="9"/>
        <v>1174.272</v>
      </c>
      <c r="S28" s="88">
        <f t="shared" si="9"/>
        <v>1726.1799999999994</v>
      </c>
      <c r="T28" s="88">
        <f t="shared" si="9"/>
        <v>2230.0779999999986</v>
      </c>
      <c r="U28" s="88">
        <f t="shared" si="9"/>
        <v>2328.7159999999976</v>
      </c>
      <c r="V28" s="60"/>
      <c r="W28" s="53"/>
    </row>
    <row r="29" spans="1:23" ht="22.5" customHeight="1" hidden="1" thickBot="1">
      <c r="A29" s="95" t="s">
        <v>43</v>
      </c>
      <c r="B29" s="45" t="s">
        <v>26</v>
      </c>
      <c r="C29" s="45">
        <v>13194.5</v>
      </c>
      <c r="D29" s="96">
        <f>SUM(D8-D12,C29)</f>
        <v>19625.910000000003</v>
      </c>
      <c r="E29" s="97">
        <f>SUM(E8-E12,D29)</f>
        <v>10162.809999999998</v>
      </c>
      <c r="F29" s="97">
        <f>SUM(F8-F12,E29)</f>
        <v>21257.489999999998</v>
      </c>
      <c r="G29" s="98">
        <f>SUM(G28+F29)</f>
        <v>28480.479999999996</v>
      </c>
      <c r="H29" s="99">
        <f>SUM(H28+G29)</f>
        <v>18502.323999999993</v>
      </c>
      <c r="I29" s="99">
        <f>SUM(I28+H29)</f>
        <v>17764.42999999999</v>
      </c>
      <c r="J29" s="99">
        <f>SUM(J28+I29)</f>
        <v>17973.81799999999</v>
      </c>
      <c r="K29" s="15">
        <f>SUM(K27+J29)</f>
        <v>18549.25599999999</v>
      </c>
      <c r="L29" s="100">
        <f>SUM(L27+K29)</f>
        <v>18762.763999999992</v>
      </c>
      <c r="M29" s="100">
        <f aca="true" t="shared" si="10" ref="M29:T29">SUM(M27+L29)</f>
        <v>19216.071999999993</v>
      </c>
      <c r="N29" s="100">
        <f t="shared" si="10"/>
        <v>19060.669999999995</v>
      </c>
      <c r="O29" s="100">
        <f t="shared" si="10"/>
        <v>18028.557999999994</v>
      </c>
      <c r="P29" s="100">
        <f t="shared" si="10"/>
        <v>18435.795999999995</v>
      </c>
      <c r="Q29" s="100">
        <f t="shared" si="10"/>
        <v>18379.803999999996</v>
      </c>
      <c r="R29" s="100">
        <f t="shared" si="10"/>
        <v>18938.701999999997</v>
      </c>
      <c r="S29" s="100">
        <f t="shared" si="10"/>
        <v>19490.609999999997</v>
      </c>
      <c r="T29" s="100">
        <f t="shared" si="10"/>
        <v>19994.507999999998</v>
      </c>
      <c r="U29" s="100">
        <f>SUM(U27+T29)+0.02</f>
        <v>20093.165999999997</v>
      </c>
      <c r="V29" s="97"/>
      <c r="W29" s="54"/>
    </row>
    <row r="30" spans="1:23" ht="9.75" customHeight="1" hidden="1" thickBot="1">
      <c r="A30" s="41" t="s">
        <v>44</v>
      </c>
      <c r="B30" s="44" t="s">
        <v>9</v>
      </c>
      <c r="C30" s="45"/>
      <c r="D30" s="45"/>
      <c r="E30" s="73"/>
      <c r="F30" s="73"/>
      <c r="G30" s="73"/>
      <c r="H30" s="73"/>
      <c r="I30" s="73"/>
      <c r="J30" s="14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21"/>
      <c r="V30" s="61"/>
      <c r="W30" s="55"/>
    </row>
    <row r="31" spans="1:23" ht="15" customHeight="1" hidden="1" thickBot="1">
      <c r="A31" s="42" t="s">
        <v>45</v>
      </c>
      <c r="B31" s="38" t="s">
        <v>27</v>
      </c>
      <c r="C31" s="45"/>
      <c r="D31" s="45"/>
      <c r="E31" s="73"/>
      <c r="F31" s="73"/>
      <c r="G31" s="73"/>
      <c r="H31" s="73"/>
      <c r="I31" s="73"/>
      <c r="J31" s="14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21"/>
      <c r="V31" s="60"/>
      <c r="W31" s="56"/>
    </row>
    <row r="32" spans="1:23" ht="24" customHeight="1" hidden="1" thickBot="1">
      <c r="A32" s="42" t="s">
        <v>47</v>
      </c>
      <c r="B32" s="39" t="s">
        <v>48</v>
      </c>
      <c r="C32" s="46"/>
      <c r="D32" s="46"/>
      <c r="E32" s="74"/>
      <c r="F32" s="74"/>
      <c r="G32" s="74"/>
      <c r="H32" s="74"/>
      <c r="I32" s="74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7">
        <f>SUM(U28-U30)</f>
        <v>2328.7159999999976</v>
      </c>
      <c r="V32" s="62"/>
      <c r="W32" s="57"/>
    </row>
    <row r="33" spans="1:23" ht="22.5" customHeight="1" hidden="1" thickBot="1">
      <c r="A33" s="67" t="s">
        <v>52</v>
      </c>
      <c r="B33" s="39" t="s">
        <v>28</v>
      </c>
      <c r="C33" s="46"/>
      <c r="D33" s="46"/>
      <c r="E33" s="74"/>
      <c r="F33" s="74"/>
      <c r="G33" s="74"/>
      <c r="H33" s="74"/>
      <c r="I33" s="74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7">
        <f>SUM(U29-U30)</f>
        <v>20093.165999999997</v>
      </c>
      <c r="V33" s="62"/>
      <c r="W33" s="57"/>
    </row>
    <row r="34" spans="3:23" ht="24" customHeight="1" hidden="1">
      <c r="C34" s="23"/>
      <c r="D34" s="23"/>
      <c r="E34" s="23"/>
      <c r="F34" s="23"/>
      <c r="G34" s="23"/>
      <c r="H34" s="23"/>
      <c r="I34" s="23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5"/>
    </row>
    <row r="35" ht="0.75" customHeight="1" hidden="1"/>
    <row r="36" ht="12.75" hidden="1"/>
    <row r="37" ht="12.75" hidden="1"/>
    <row r="38" spans="2:23" ht="12.75">
      <c r="B38" t="s">
        <v>73</v>
      </c>
      <c r="S38" s="89"/>
      <c r="T38" s="89"/>
      <c r="U38" s="89"/>
      <c r="V38" s="89"/>
      <c r="W38" s="89"/>
    </row>
    <row r="39" spans="19:23" ht="12.75">
      <c r="S39" s="89"/>
      <c r="T39" s="89"/>
      <c r="U39" s="89"/>
      <c r="V39" s="89"/>
      <c r="W39" s="89"/>
    </row>
    <row r="42" ht="12.75" customHeight="1"/>
    <row r="43" ht="12.75" customHeight="1"/>
  </sheetData>
  <sheetProtection/>
  <mergeCells count="5">
    <mergeCell ref="B4:W4"/>
    <mergeCell ref="B5:W5"/>
    <mergeCell ref="B3:W3"/>
    <mergeCell ref="B1:L1"/>
    <mergeCell ref="B2:S2"/>
  </mergeCells>
  <printOptions/>
  <pageMargins left="0.24" right="0.24" top="1" bottom="0.24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2018-02-07T10:42:42Z</cp:lastPrinted>
  <dcterms:created xsi:type="dcterms:W3CDTF">2011-06-16T11:06:26Z</dcterms:created>
  <dcterms:modified xsi:type="dcterms:W3CDTF">2018-02-12T07:47:13Z</dcterms:modified>
  <cp:category/>
  <cp:version/>
  <cp:contentType/>
  <cp:contentStatus/>
</cp:coreProperties>
</file>