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<sst xmlns="http://schemas.openxmlformats.org/spreadsheetml/2006/main" count="70" uniqueCount="69">
  <si>
    <t>СПРАВКА</t>
  </si>
  <si>
    <t xml:space="preserve">Начислено  </t>
  </si>
  <si>
    <t>Оплачено</t>
  </si>
  <si>
    <t>Расходы</t>
  </si>
  <si>
    <t>Услуги РИРЦ</t>
  </si>
  <si>
    <t>Вывоз ТБО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</si>
  <si>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</si>
  <si>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</si>
  <si>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</si>
  <si>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</si>
  <si>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</si>
  <si>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</si>
  <si>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</si>
  <si>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</si>
  <si>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</si>
  <si>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</si>
  <si>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</si>
  <si>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</si>
  <si>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</si>
  <si>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</si>
  <si>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</si>
  <si>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</si>
  <si>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</si>
  <si>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</si>
  <si>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</si>
  <si>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</si>
  <si>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</si>
  <si>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</si>
  <si>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</si>
  <si>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2</t>
  </si>
  <si>
    <t>3</t>
  </si>
  <si>
    <t>4</t>
  </si>
  <si>
    <t>4.1</t>
  </si>
  <si>
    <t>4.2</t>
  </si>
  <si>
    <t>4.4</t>
  </si>
  <si>
    <t>4.5</t>
  </si>
  <si>
    <t>4.9</t>
  </si>
  <si>
    <t>4.10</t>
  </si>
  <si>
    <t>4.11</t>
  </si>
  <si>
    <t>5</t>
  </si>
  <si>
    <t>6</t>
  </si>
  <si>
    <t>7</t>
  </si>
  <si>
    <t>8</t>
  </si>
  <si>
    <t>9</t>
  </si>
  <si>
    <t>за 2010 г</t>
  </si>
  <si>
    <t>10</t>
  </si>
  <si>
    <t>Финансовый результат по дому с начала года</t>
  </si>
  <si>
    <t>по жилому дому г. Унеча ул. Мира д.6</t>
  </si>
  <si>
    <t>Итого за 2011 г</t>
  </si>
  <si>
    <t>Результат за месяц</t>
  </si>
  <si>
    <t>Дом по ул. Мира д.6 вступил в ООО "Наш дом" с октября 2010 года                                тариф 8,3 руб</t>
  </si>
  <si>
    <t>Итого за 2012 г</t>
  </si>
  <si>
    <t>Благоустройство территории</t>
  </si>
  <si>
    <t>4.12</t>
  </si>
  <si>
    <t>4.13</t>
  </si>
  <si>
    <t xml:space="preserve">%  оплаты </t>
  </si>
  <si>
    <t>Итого за 2013 г</t>
  </si>
  <si>
    <t>Итого за 2014 г</t>
  </si>
  <si>
    <t>рентабельность 5%</t>
  </si>
  <si>
    <t>Итого за 2015 г</t>
  </si>
  <si>
    <t>Материалы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</si>
  <si>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</si>
  <si>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</si>
  <si>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</si>
  <si>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</si>
  <si>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вед. экономист /Викторова Л.С/</t>
  </si>
  <si>
    <t>Итого за 2016 г</t>
  </si>
  <si>
    <t>Итого за 2017 г</t>
  </si>
  <si>
    <t>Всего за 2010-2017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</si>
</sst>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8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0" fontId="25" fillId="0" borderId="27" xfId="0" applyFont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8" xfId="0" applyFont="1" applyBorder="1" applyAlignment="1">
      <alignment horizontal="left" vertical="center" wrapText="1"/>
    </xf>
    <xf numFmtId="0" fontId="24" fillId="0" borderId="29" xfId="0" applyFont="1" applyBorder="1" applyAlignment="1">
      <alignment wrapText="1"/>
    </xf>
    <xf numFmtId="0" fontId="24" fillId="0" borderId="30" xfId="0" applyFont="1" applyBorder="1" applyAlignment="1">
      <alignment wrapText="1"/>
    </xf>
    <xf numFmtId="0" fontId="21" fillId="0" borderId="30" xfId="0" applyFont="1" applyBorder="1" applyAlignment="1">
      <alignment horizontal="left" wrapText="1"/>
    </xf>
    <xf numFmtId="0" fontId="24" fillId="0" borderId="28" xfId="0" applyFont="1" applyBorder="1" applyAlignment="1">
      <alignment wrapText="1"/>
    </xf>
    <xf numFmtId="49" fontId="21" fillId="0" borderId="29" xfId="0" applyNumberFormat="1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2" borderId="32" xfId="0" applyFont="1" applyFill="1" applyBorder="1" applyAlignment="1">
      <alignment wrapText="1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0" fontId="23" fillId="0" borderId="36" xfId="0" applyFont="1" applyBorder="1" applyAlignment="1">
      <alignment horizontal="left" vertical="center" wrapText="1"/>
    </xf>
    <xf numFmtId="0" fontId="21" fillId="0" borderId="36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1" fillId="2" borderId="37" xfId="0" applyFont="1" applyFill="1" applyBorder="1" applyAlignment="1">
      <alignment wrapText="1"/>
    </xf>
    <xf numFmtId="2" fontId="21" fillId="0" borderId="27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1" fontId="21" fillId="0" borderId="38" xfId="0" applyNumberFormat="1" applyFont="1" applyBorder="1" applyAlignment="1">
      <alignment horizontal="center"/>
    </xf>
    <xf numFmtId="0" fontId="23" fillId="0" borderId="28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25" fillId="0" borderId="28" xfId="0" applyFont="1" applyBorder="1" applyAlignment="1">
      <alignment/>
    </xf>
    <xf numFmtId="0" fontId="0" fillId="0" borderId="40" xfId="0" applyBorder="1" applyAlignment="1">
      <alignment/>
    </xf>
    <xf numFmtId="0" fontId="0" fillId="0" borderId="28" xfId="0" applyBorder="1" applyAlignment="1">
      <alignment/>
    </xf>
    <xf numFmtId="0" fontId="0" fillId="2" borderId="28" xfId="0" applyFill="1" applyBorder="1" applyAlignment="1">
      <alignment/>
    </xf>
    <xf numFmtId="0" fontId="19" fillId="0" borderId="36" xfId="0" applyFont="1" applyBorder="1" applyAlignment="1">
      <alignment horizontal="center" vertical="center" wrapText="1"/>
    </xf>
    <xf numFmtId="0" fontId="21" fillId="0" borderId="27" xfId="0" applyFont="1" applyBorder="1" applyAlignment="1">
      <alignment/>
    </xf>
    <xf numFmtId="1" fontId="21" fillId="0" borderId="34" xfId="0" applyNumberFormat="1" applyFont="1" applyBorder="1" applyAlignment="1">
      <alignment horizontal="center"/>
    </xf>
    <xf numFmtId="0" fontId="21" fillId="0" borderId="41" xfId="0" applyFont="1" applyBorder="1" applyAlignment="1">
      <alignment/>
    </xf>
    <xf numFmtId="0" fontId="21" fillId="0" borderId="36" xfId="0" applyFont="1" applyBorder="1" applyAlignment="1">
      <alignment/>
    </xf>
    <xf numFmtId="0" fontId="21" fillId="0" borderId="37" xfId="0" applyFont="1" applyBorder="1" applyAlignment="1">
      <alignment/>
    </xf>
    <xf numFmtId="0" fontId="20" fillId="2" borderId="37" xfId="0" applyFont="1" applyFill="1" applyBorder="1" applyAlignment="1">
      <alignment/>
    </xf>
    <xf numFmtId="0" fontId="25" fillId="0" borderId="33" xfId="0" applyFont="1" applyBorder="1" applyAlignment="1">
      <alignment/>
    </xf>
    <xf numFmtId="1" fontId="20" fillId="0" borderId="42" xfId="0" applyNumberFormat="1" applyFont="1" applyBorder="1" applyAlignment="1">
      <alignment horizontal="center"/>
    </xf>
    <xf numFmtId="2" fontId="25" fillId="0" borderId="36" xfId="0" applyNumberFormat="1" applyFont="1" applyBorder="1" applyAlignment="1">
      <alignment/>
    </xf>
    <xf numFmtId="0" fontId="21" fillId="0" borderId="40" xfId="0" applyFont="1" applyBorder="1" applyAlignment="1">
      <alignment wrapText="1"/>
    </xf>
    <xf numFmtId="2" fontId="21" fillId="0" borderId="43" xfId="0" applyNumberFormat="1" applyFont="1" applyBorder="1" applyAlignment="1">
      <alignment horizontal="right" wrapText="1"/>
    </xf>
    <xf numFmtId="2" fontId="25" fillId="0" borderId="39" xfId="0" applyNumberFormat="1" applyFont="1" applyBorder="1" applyAlignment="1">
      <alignment/>
    </xf>
    <xf numFmtId="0" fontId="26" fillId="0" borderId="33" xfId="0" applyFont="1" applyBorder="1" applyAlignment="1">
      <alignment wrapText="1"/>
    </xf>
    <xf numFmtId="0" fontId="26" fillId="0" borderId="34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6" fillId="0" borderId="44" xfId="0" applyFont="1" applyBorder="1" applyAlignment="1">
      <alignment wrapText="1"/>
    </xf>
    <xf numFmtId="0" fontId="26" fillId="0" borderId="45" xfId="0" applyFont="1" applyBorder="1" applyAlignment="1">
      <alignment wrapText="1"/>
    </xf>
    <xf numFmtId="2" fontId="21" fillId="0" borderId="46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 horizontal="right" wrapText="1"/>
    </xf>
    <xf numFmtId="2" fontId="21" fillId="0" borderId="48" xfId="0" applyNumberFormat="1" applyFont="1" applyBorder="1" applyAlignment="1">
      <alignment horizontal="right" wrapText="1"/>
    </xf>
    <xf numFmtId="0" fontId="21" fillId="0" borderId="49" xfId="0" applyFont="1" applyBorder="1" applyAlignment="1">
      <alignment/>
    </xf>
    <xf numFmtId="2" fontId="21" fillId="0" borderId="36" xfId="0" applyNumberFormat="1" applyFont="1" applyBorder="1" applyAlignment="1">
      <alignment horizontal="right" wrapText="1"/>
    </xf>
    <xf numFmtId="2" fontId="21" fillId="0" borderId="50" xfId="0" applyNumberFormat="1" applyFont="1" applyBorder="1" applyAlignment="1">
      <alignment horizontal="right" wrapText="1"/>
    </xf>
    <xf numFmtId="0" fontId="21" fillId="0" borderId="28" xfId="0" applyFont="1" applyBorder="1" applyAlignment="1">
      <alignment/>
    </xf>
    <xf numFmtId="2" fontId="21" fillId="0" borderId="36" xfId="0" applyNumberFormat="1" applyFont="1" applyBorder="1" applyAlignment="1">
      <alignment/>
    </xf>
    <xf numFmtId="0" fontId="19" fillId="0" borderId="50" xfId="0" applyFont="1" applyBorder="1" applyAlignment="1">
      <alignment horizontal="center" vertical="center" wrapText="1"/>
    </xf>
    <xf numFmtId="0" fontId="26" fillId="0" borderId="46" xfId="0" applyFont="1" applyBorder="1" applyAlignment="1">
      <alignment wrapText="1"/>
    </xf>
    <xf numFmtId="1" fontId="21" fillId="0" borderId="45" xfId="0" applyNumberFormat="1" applyFont="1" applyBorder="1" applyAlignment="1">
      <alignment horizontal="center"/>
    </xf>
    <xf numFmtId="0" fontId="21" fillId="0" borderId="5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49" fontId="0" fillId="0" borderId="42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21" fillId="0" borderId="26" xfId="0" applyFont="1" applyBorder="1" applyAlignment="1">
      <alignment/>
    </xf>
    <xf numFmtId="49" fontId="0" fillId="0" borderId="36" xfId="0" applyNumberFormat="1" applyBorder="1" applyAlignment="1">
      <alignment horizontal="center"/>
    </xf>
    <xf numFmtId="0" fontId="21" fillId="0" borderId="28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PageLayoutView="0" workbookViewId="0" topLeftCell="A13">
      <selection activeCell="R37" sqref="R37"/>
    </sheetView>
  </sheetViews>
  <sheetFormatPr defaultColWidth="9.00390625" defaultRowHeight="12.75"/>
  <cols>
    <col min="1" max="1" width="4.25390625" style="30" customWidth="1"/>
    <col min="2" max="2" width="19.375" style="0" customWidth="1"/>
    <col min="3" max="3" width="7.125" style="0" hidden="1" customWidth="1"/>
    <col min="4" max="4" width="8.125" style="0" hidden="1" customWidth="1"/>
    <col min="5" max="5" width="8.875" style="0" hidden="1" customWidth="1"/>
    <col min="6" max="6" width="3.00390625" style="0" hidden="1" customWidth="1"/>
    <col min="7" max="7" width="0.12890625" style="0" hidden="1" customWidth="1"/>
    <col min="8" max="8" width="9.75390625" style="0" hidden="1" customWidth="1"/>
    <col min="9" max="9" width="10.00390625" style="0" hidden="1" customWidth="1"/>
    <col min="10" max="10" width="8.25390625" style="0" customWidth="1"/>
    <col min="11" max="11" width="8.75390625" style="0" customWidth="1"/>
    <col min="12" max="12" width="9.00390625" style="0" customWidth="1"/>
    <col min="13" max="13" width="7.875" style="0" customWidth="1"/>
    <col min="14" max="14" width="8.375" style="0" customWidth="1"/>
    <col min="15" max="15" width="8.75390625" style="0" customWidth="1"/>
    <col min="16" max="16" width="9.25390625" style="0" customWidth="1"/>
    <col min="17" max="17" width="8.625" style="0" customWidth="1"/>
    <col min="18" max="18" width="8.875" style="0" customWidth="1"/>
    <col min="19" max="19" width="8.125" style="0" customWidth="1"/>
    <col min="20" max="20" width="8.375" style="0" customWidth="1"/>
    <col min="21" max="21" width="8.625" style="0" customWidth="1"/>
    <col min="22" max="22" width="10.375" style="0" customWidth="1"/>
    <col min="23" max="23" width="9.875" style="0" hidden="1" customWidth="1"/>
  </cols>
  <sheetData>
    <row r="1" spans="2:28" ht="12.75" customHeight="1">
      <c r="B1" s="92" t="s">
        <v>8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 customHeight="1">
      <c r="B2" s="92" t="s">
        <v>50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4"/>
      <c r="U2" s="4"/>
      <c r="V2" s="4"/>
      <c r="W2" s="4"/>
      <c r="X2" s="4"/>
      <c r="Y2" s="4"/>
      <c r="Z2" s="4"/>
      <c r="AA2" s="4"/>
      <c r="AB2" s="4"/>
    </row>
    <row r="3" spans="2:28" ht="12.75" customHeight="1">
      <c r="B3" s="91" t="s">
        <v>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3"/>
      <c r="Y3" s="3"/>
      <c r="Z3" s="3"/>
      <c r="AA3" s="3"/>
      <c r="AB3" s="3"/>
    </row>
    <row r="4" spans="2:28" ht="15" customHeight="1">
      <c r="B4" s="90" t="s">
        <v>10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2"/>
      <c r="Y4" s="2"/>
      <c r="Z4" s="2"/>
      <c r="AA4" s="2"/>
      <c r="AB4" s="2"/>
    </row>
    <row r="5" spans="2:28" ht="16.5" customHeight="1">
      <c r="B5" s="90" t="s">
        <v>47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2"/>
      <c r="Y5" s="2"/>
      <c r="Z5" s="2"/>
      <c r="AA5" s="2"/>
      <c r="AB5" s="2"/>
    </row>
    <row r="6" spans="2:28" ht="16.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  <c r="AA6" s="2"/>
      <c r="AB6" s="2"/>
    </row>
    <row r="7" spans="1:28" ht="41.25" customHeight="1" thickBot="1">
      <c r="A7" s="41" t="s">
        <v>27</v>
      </c>
      <c r="B7" s="31" t="s">
        <v>6</v>
      </c>
      <c r="C7" s="44" t="s">
        <v>44</v>
      </c>
      <c r="D7" s="58" t="s">
        <v>48</v>
      </c>
      <c r="E7" s="58" t="s">
        <v>51</v>
      </c>
      <c r="F7" s="58" t="s">
        <v>56</v>
      </c>
      <c r="G7" s="86" t="s">
        <v>57</v>
      </c>
      <c r="H7" s="58" t="s">
        <v>59</v>
      </c>
      <c r="I7" s="58" t="s">
        <v>66</v>
      </c>
      <c r="J7" s="6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5" t="s">
        <v>18</v>
      </c>
      <c r="R7" s="5" t="s">
        <v>19</v>
      </c>
      <c r="S7" s="5" t="s">
        <v>20</v>
      </c>
      <c r="T7" s="5" t="s">
        <v>22</v>
      </c>
      <c r="U7" s="17" t="s">
        <v>21</v>
      </c>
      <c r="V7" s="58" t="s">
        <v>67</v>
      </c>
      <c r="W7" s="52" t="s">
        <v>68</v>
      </c>
      <c r="X7" s="1"/>
      <c r="Y7" s="1"/>
      <c r="Z7" s="1"/>
      <c r="AA7" s="1"/>
      <c r="AB7" s="1"/>
    </row>
    <row r="8" spans="1:23" ht="12.75">
      <c r="A8" s="42" t="s">
        <v>28</v>
      </c>
      <c r="B8" s="32" t="s">
        <v>1</v>
      </c>
      <c r="C8" s="71">
        <v>3764.88</v>
      </c>
      <c r="D8" s="75">
        <v>15049.56</v>
      </c>
      <c r="E8" s="71">
        <v>15019.68</v>
      </c>
      <c r="F8" s="71">
        <v>14953.28</v>
      </c>
      <c r="G8" s="87">
        <v>14940</v>
      </c>
      <c r="H8" s="71">
        <v>14940</v>
      </c>
      <c r="I8" s="71">
        <v>14940</v>
      </c>
      <c r="J8" s="7">
        <v>1245</v>
      </c>
      <c r="K8" s="8">
        <v>1245</v>
      </c>
      <c r="L8" s="8">
        <v>1245</v>
      </c>
      <c r="M8" s="8">
        <v>1245</v>
      </c>
      <c r="N8" s="8">
        <v>1245</v>
      </c>
      <c r="O8" s="8">
        <v>1245</v>
      </c>
      <c r="P8" s="8">
        <v>1245</v>
      </c>
      <c r="Q8" s="8">
        <v>1245</v>
      </c>
      <c r="R8" s="8">
        <v>1245</v>
      </c>
      <c r="S8" s="8">
        <v>1245</v>
      </c>
      <c r="T8" s="8">
        <v>1245</v>
      </c>
      <c r="U8" s="18">
        <v>1245</v>
      </c>
      <c r="V8" s="59">
        <f>SUM(J8:U8)</f>
        <v>14940</v>
      </c>
      <c r="W8" s="65">
        <f>SUM(C8:U8)</f>
        <v>108547.4</v>
      </c>
    </row>
    <row r="9" spans="1:23" ht="12.75">
      <c r="A9" s="42" t="s">
        <v>29</v>
      </c>
      <c r="B9" s="33" t="s">
        <v>2</v>
      </c>
      <c r="C9" s="72">
        <v>2509.92</v>
      </c>
      <c r="D9" s="76">
        <v>14549.9</v>
      </c>
      <c r="E9" s="72">
        <v>15020.54</v>
      </c>
      <c r="F9" s="72">
        <v>14959.06</v>
      </c>
      <c r="G9" s="76">
        <v>14391.68</v>
      </c>
      <c r="H9" s="72">
        <v>14536.99</v>
      </c>
      <c r="I9" s="72">
        <v>13695.15</v>
      </c>
      <c r="J9" s="9">
        <v>993.51</v>
      </c>
      <c r="K9" s="10">
        <v>993.51</v>
      </c>
      <c r="L9" s="10">
        <v>624.99</v>
      </c>
      <c r="M9" s="10">
        <v>3254.11</v>
      </c>
      <c r="N9" s="10">
        <v>809.25</v>
      </c>
      <c r="O9" s="10">
        <v>809.25</v>
      </c>
      <c r="P9" s="10">
        <v>809.25</v>
      </c>
      <c r="Q9" s="10">
        <v>809.25</v>
      </c>
      <c r="R9" s="10">
        <v>809.25</v>
      </c>
      <c r="S9" s="10">
        <v>1914.81</v>
      </c>
      <c r="T9" s="10">
        <v>993.51</v>
      </c>
      <c r="U9" s="19">
        <v>809.25</v>
      </c>
      <c r="V9" s="59">
        <f>SUM(J9:U9)</f>
        <v>13629.94</v>
      </c>
      <c r="W9" s="29">
        <f>SUM(C9:U9)</f>
        <v>103293.17999999998</v>
      </c>
    </row>
    <row r="10" spans="1:23" ht="15" customHeight="1" thickBot="1">
      <c r="A10" s="42" t="s">
        <v>30</v>
      </c>
      <c r="B10" s="34" t="s">
        <v>55</v>
      </c>
      <c r="C10" s="60">
        <f aca="true" t="shared" si="0" ref="C10:J10">SUM(C9/C8*100)</f>
        <v>66.66666666666666</v>
      </c>
      <c r="D10" s="51">
        <f t="shared" si="0"/>
        <v>96.67990293403926</v>
      </c>
      <c r="E10" s="60">
        <f t="shared" si="0"/>
        <v>100.00572582105612</v>
      </c>
      <c r="F10" s="60">
        <f t="shared" si="0"/>
        <v>100.03865372680775</v>
      </c>
      <c r="G10" s="88">
        <f t="shared" si="0"/>
        <v>96.32985274431057</v>
      </c>
      <c r="H10" s="60">
        <f>SUM(H9/H8*100)</f>
        <v>97.3024765729585</v>
      </c>
      <c r="I10" s="60">
        <f>SUM(I9/I8*100)</f>
        <v>91.66767068273091</v>
      </c>
      <c r="J10" s="23">
        <f t="shared" si="0"/>
        <v>79.80000000000001</v>
      </c>
      <c r="K10" s="23">
        <f aca="true" t="shared" si="1" ref="K10:U10">SUM(K9/K8*100)</f>
        <v>79.80000000000001</v>
      </c>
      <c r="L10" s="23">
        <f t="shared" si="1"/>
        <v>50.2</v>
      </c>
      <c r="M10" s="23">
        <f t="shared" si="1"/>
        <v>261.374297188755</v>
      </c>
      <c r="N10" s="23">
        <f t="shared" si="1"/>
        <v>65</v>
      </c>
      <c r="O10" s="23">
        <f t="shared" si="1"/>
        <v>65</v>
      </c>
      <c r="P10" s="23">
        <f t="shared" si="1"/>
        <v>65</v>
      </c>
      <c r="Q10" s="23">
        <f t="shared" si="1"/>
        <v>65</v>
      </c>
      <c r="R10" s="23">
        <f t="shared" si="1"/>
        <v>65</v>
      </c>
      <c r="S10" s="23">
        <f t="shared" si="1"/>
        <v>153.8</v>
      </c>
      <c r="T10" s="23">
        <f t="shared" si="1"/>
        <v>79.80000000000001</v>
      </c>
      <c r="U10" s="51">
        <f t="shared" si="1"/>
        <v>65</v>
      </c>
      <c r="V10" s="66">
        <f>SUM(V9/V8*100)</f>
        <v>91.23119143239626</v>
      </c>
      <c r="W10" s="66">
        <f>SUM(W9/W8*100)</f>
        <v>95.15951556647141</v>
      </c>
    </row>
    <row r="11" spans="1:23" ht="13.5" thickBot="1">
      <c r="A11" s="42" t="s">
        <v>31</v>
      </c>
      <c r="B11" s="35" t="s">
        <v>3</v>
      </c>
      <c r="C11" s="62">
        <f aca="true" t="shared" si="2" ref="C11:J11">SUM(C12:C20)</f>
        <v>1973.58</v>
      </c>
      <c r="D11" s="20">
        <f t="shared" si="2"/>
        <v>19241.499999999996</v>
      </c>
      <c r="E11" s="62">
        <f t="shared" si="2"/>
        <v>12280.969999999998</v>
      </c>
      <c r="F11" s="62">
        <f t="shared" si="2"/>
        <v>13662.5</v>
      </c>
      <c r="G11" s="89">
        <f t="shared" si="2"/>
        <v>13847.27</v>
      </c>
      <c r="H11" s="62">
        <f>SUM(H12:H20)</f>
        <v>9484.499999999998</v>
      </c>
      <c r="I11" s="62">
        <f>SUM(I12:I20)</f>
        <v>13484.810000000001</v>
      </c>
      <c r="J11" s="13">
        <f t="shared" si="2"/>
        <v>940.8399999999999</v>
      </c>
      <c r="K11" s="13">
        <f aca="true" t="shared" si="3" ref="K11:U11">SUM(K12:K20)</f>
        <v>880.12</v>
      </c>
      <c r="L11" s="13">
        <f t="shared" si="3"/>
        <v>1107.18</v>
      </c>
      <c r="M11" s="13">
        <f t="shared" si="3"/>
        <v>1032.55</v>
      </c>
      <c r="N11" s="13">
        <f t="shared" si="3"/>
        <v>972.6899999999999</v>
      </c>
      <c r="O11" s="13">
        <f t="shared" si="3"/>
        <v>928.1499999999999</v>
      </c>
      <c r="P11" s="13">
        <f t="shared" si="3"/>
        <v>1003.81</v>
      </c>
      <c r="Q11" s="13">
        <f t="shared" si="3"/>
        <v>1059.71</v>
      </c>
      <c r="R11" s="13">
        <f t="shared" si="3"/>
        <v>939.49</v>
      </c>
      <c r="S11" s="13">
        <f t="shared" si="3"/>
        <v>993.0199999999999</v>
      </c>
      <c r="T11" s="13">
        <f t="shared" si="3"/>
        <v>1182.09</v>
      </c>
      <c r="U11" s="20">
        <f t="shared" si="3"/>
        <v>1226.4</v>
      </c>
      <c r="V11" s="62">
        <f>SUM(J11:U11)</f>
        <v>12266.050000000001</v>
      </c>
      <c r="W11" s="67">
        <f>SUM(C11:U11)</f>
        <v>96241.17999999998</v>
      </c>
    </row>
    <row r="12" spans="1:23" ht="13.5" thickBot="1">
      <c r="A12" s="42" t="s">
        <v>32</v>
      </c>
      <c r="B12" s="36" t="s">
        <v>5</v>
      </c>
      <c r="C12" s="48">
        <v>14.63</v>
      </c>
      <c r="D12" s="77">
        <v>1816.32</v>
      </c>
      <c r="E12" s="48">
        <v>778.6</v>
      </c>
      <c r="F12" s="48">
        <v>407.18</v>
      </c>
      <c r="G12" s="77">
        <v>2519.05</v>
      </c>
      <c r="H12" s="48">
        <v>852.68</v>
      </c>
      <c r="I12" s="48">
        <v>451.43</v>
      </c>
      <c r="J12" s="7">
        <v>6.63</v>
      </c>
      <c r="K12" s="8">
        <v>31.18</v>
      </c>
      <c r="L12" s="8">
        <v>18.31</v>
      </c>
      <c r="M12" s="8">
        <v>58.02</v>
      </c>
      <c r="N12" s="8">
        <v>28.96</v>
      </c>
      <c r="O12" s="8">
        <v>17.7</v>
      </c>
      <c r="P12" s="8">
        <v>27.89</v>
      </c>
      <c r="Q12" s="8">
        <v>32.43</v>
      </c>
      <c r="R12" s="8">
        <v>33.54</v>
      </c>
      <c r="S12" s="8">
        <v>34.87</v>
      </c>
      <c r="T12" s="8">
        <v>30.47</v>
      </c>
      <c r="U12" s="18">
        <v>30.53</v>
      </c>
      <c r="V12" s="62">
        <f aca="true" t="shared" si="4" ref="V12:V22">SUM(J12:U12)</f>
        <v>350.53</v>
      </c>
      <c r="W12" s="67">
        <f aca="true" t="shared" si="5" ref="W12:W20">SUM(C12:U12)</f>
        <v>7190.420000000003</v>
      </c>
    </row>
    <row r="13" spans="1:23" ht="15" customHeight="1" thickBot="1">
      <c r="A13" s="42" t="s">
        <v>33</v>
      </c>
      <c r="B13" s="37" t="s">
        <v>61</v>
      </c>
      <c r="C13" s="49">
        <v>27.81</v>
      </c>
      <c r="D13" s="78">
        <v>1521.94</v>
      </c>
      <c r="E13" s="49">
        <v>307.09</v>
      </c>
      <c r="F13" s="49">
        <v>2045.72</v>
      </c>
      <c r="G13" s="78">
        <v>787.12</v>
      </c>
      <c r="H13" s="49">
        <v>2121.54</v>
      </c>
      <c r="I13" s="49">
        <v>1618.04</v>
      </c>
      <c r="J13" s="9"/>
      <c r="K13" s="10"/>
      <c r="L13" s="10">
        <v>197.84</v>
      </c>
      <c r="M13" s="10"/>
      <c r="N13" s="10"/>
      <c r="O13" s="10"/>
      <c r="P13" s="10"/>
      <c r="Q13" s="10"/>
      <c r="R13" s="10"/>
      <c r="S13" s="10"/>
      <c r="T13" s="10">
        <v>200</v>
      </c>
      <c r="U13" s="19"/>
      <c r="V13" s="62">
        <f t="shared" si="4"/>
        <v>397.84000000000003</v>
      </c>
      <c r="W13" s="67">
        <f t="shared" si="5"/>
        <v>8827.1</v>
      </c>
    </row>
    <row r="14" spans="1:23" ht="16.5" customHeight="1" thickBot="1">
      <c r="A14" s="42" t="s">
        <v>34</v>
      </c>
      <c r="B14" s="37" t="s">
        <v>60</v>
      </c>
      <c r="C14" s="49">
        <v>21</v>
      </c>
      <c r="D14" s="78">
        <v>6454.36</v>
      </c>
      <c r="E14" s="49">
        <v>159.03</v>
      </c>
      <c r="F14" s="49">
        <v>600</v>
      </c>
      <c r="G14" s="78">
        <v>96.58</v>
      </c>
      <c r="H14" s="49">
        <v>2279.21</v>
      </c>
      <c r="I14" s="49">
        <v>659.26</v>
      </c>
      <c r="J14" s="9"/>
      <c r="K14" s="10"/>
      <c r="L14" s="10"/>
      <c r="M14" s="10"/>
      <c r="N14" s="10"/>
      <c r="O14" s="10"/>
      <c r="P14" s="10"/>
      <c r="Q14" s="10">
        <v>95</v>
      </c>
      <c r="R14" s="10"/>
      <c r="S14" s="10"/>
      <c r="T14" s="10"/>
      <c r="U14" s="19">
        <v>319.1</v>
      </c>
      <c r="V14" s="62">
        <f t="shared" si="4"/>
        <v>414.1</v>
      </c>
      <c r="W14" s="67">
        <f t="shared" si="5"/>
        <v>10683.54</v>
      </c>
    </row>
    <row r="15" spans="1:23" ht="22.5" customHeight="1" thickBot="1">
      <c r="A15" s="42" t="s">
        <v>35</v>
      </c>
      <c r="B15" s="37" t="s">
        <v>52</v>
      </c>
      <c r="C15" s="49">
        <v>97.18</v>
      </c>
      <c r="D15" s="78">
        <v>0</v>
      </c>
      <c r="E15" s="49">
        <v>256</v>
      </c>
      <c r="F15" s="49">
        <v>0</v>
      </c>
      <c r="G15" s="78">
        <v>5.33</v>
      </c>
      <c r="H15" s="49">
        <v>0</v>
      </c>
      <c r="I15" s="49">
        <v>51</v>
      </c>
      <c r="J15" s="9">
        <v>8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9"/>
      <c r="V15" s="62">
        <f t="shared" si="4"/>
        <v>8</v>
      </c>
      <c r="W15" s="67">
        <f t="shared" si="5"/>
        <v>417.51</v>
      </c>
    </row>
    <row r="16" spans="1:23" ht="36" customHeight="1" thickBot="1">
      <c r="A16" s="42" t="s">
        <v>36</v>
      </c>
      <c r="B16" s="37" t="s">
        <v>62</v>
      </c>
      <c r="C16" s="49">
        <v>119.5</v>
      </c>
      <c r="D16" s="78">
        <v>733.47</v>
      </c>
      <c r="E16" s="49">
        <v>1591.56</v>
      </c>
      <c r="F16" s="49">
        <v>928.89</v>
      </c>
      <c r="G16" s="78">
        <v>611.23</v>
      </c>
      <c r="H16" s="49">
        <v>720.9</v>
      </c>
      <c r="I16" s="49">
        <v>762.33</v>
      </c>
      <c r="J16" s="9">
        <v>64.54</v>
      </c>
      <c r="K16" s="10">
        <v>60.35</v>
      </c>
      <c r="L16" s="10">
        <v>75.03</v>
      </c>
      <c r="M16" s="10">
        <v>55.76</v>
      </c>
      <c r="N16" s="10">
        <v>59.38</v>
      </c>
      <c r="O16" s="10">
        <v>66.78</v>
      </c>
      <c r="P16" s="10">
        <v>54.12</v>
      </c>
      <c r="Q16" s="10">
        <v>62.6</v>
      </c>
      <c r="R16" s="10">
        <v>58.88</v>
      </c>
      <c r="S16" s="10">
        <v>75.13</v>
      </c>
      <c r="T16" s="10">
        <v>77.71</v>
      </c>
      <c r="U16" s="19">
        <v>64.22</v>
      </c>
      <c r="V16" s="62">
        <f t="shared" si="4"/>
        <v>774.5000000000001</v>
      </c>
      <c r="W16" s="67">
        <f t="shared" si="5"/>
        <v>6242.38</v>
      </c>
    </row>
    <row r="17" spans="1:23" ht="36.75" customHeight="1" thickBot="1">
      <c r="A17" s="42" t="s">
        <v>37</v>
      </c>
      <c r="B17" s="37" t="s">
        <v>63</v>
      </c>
      <c r="C17" s="49">
        <v>219.88</v>
      </c>
      <c r="D17" s="78">
        <v>399.47</v>
      </c>
      <c r="E17" s="49">
        <v>119.56</v>
      </c>
      <c r="F17" s="49">
        <v>84.6</v>
      </c>
      <c r="G17" s="78">
        <v>183.87</v>
      </c>
      <c r="H17" s="49">
        <v>124.23</v>
      </c>
      <c r="I17" s="49">
        <v>108.44</v>
      </c>
      <c r="J17" s="9">
        <v>14.18</v>
      </c>
      <c r="K17" s="10">
        <v>4.36</v>
      </c>
      <c r="L17" s="10">
        <v>4.68</v>
      </c>
      <c r="M17" s="10">
        <v>4.33</v>
      </c>
      <c r="N17" s="10">
        <v>4.2</v>
      </c>
      <c r="O17" s="10">
        <v>6.54</v>
      </c>
      <c r="P17" s="10">
        <v>6.14</v>
      </c>
      <c r="Q17" s="10">
        <v>18.91</v>
      </c>
      <c r="R17" s="10">
        <v>4.41</v>
      </c>
      <c r="S17" s="10">
        <v>6.52</v>
      </c>
      <c r="T17" s="10">
        <v>4.41</v>
      </c>
      <c r="U17" s="19">
        <v>6.01</v>
      </c>
      <c r="V17" s="62">
        <f t="shared" si="4"/>
        <v>84.69</v>
      </c>
      <c r="W17" s="67">
        <f t="shared" si="5"/>
        <v>1324.7400000000005</v>
      </c>
    </row>
    <row r="18" spans="1:23" ht="36" customHeight="1" thickBot="1">
      <c r="A18" s="42" t="s">
        <v>38</v>
      </c>
      <c r="B18" s="37" t="s">
        <v>64</v>
      </c>
      <c r="C18" s="49">
        <v>17.5</v>
      </c>
      <c r="D18" s="78">
        <v>1128.73</v>
      </c>
      <c r="E18" s="49">
        <v>621.51</v>
      </c>
      <c r="F18" s="49">
        <v>840.07</v>
      </c>
      <c r="G18" s="78">
        <v>713</v>
      </c>
      <c r="H18" s="49">
        <v>951.73</v>
      </c>
      <c r="I18" s="49">
        <v>793.25</v>
      </c>
      <c r="J18" s="9">
        <f>2.84+19.82+32.44</f>
        <v>55.099999999999994</v>
      </c>
      <c r="K18" s="10">
        <f>2.83+23.48+19.89</f>
        <v>46.2</v>
      </c>
      <c r="L18" s="10">
        <f>2.79+26.1+34.93</f>
        <v>63.82</v>
      </c>
      <c r="M18" s="10">
        <f>2.63+23.92+33.62</f>
        <v>60.17</v>
      </c>
      <c r="N18" s="10">
        <f>2.71+29.01+82.26</f>
        <v>113.98</v>
      </c>
      <c r="O18" s="10">
        <f>39.97+3.17+23.75</f>
        <v>66.89</v>
      </c>
      <c r="P18" s="10">
        <f>3.47+20.91+37.32</f>
        <v>61.7</v>
      </c>
      <c r="Q18" s="10">
        <f>3.76+19.29+44.49</f>
        <v>67.53999999999999</v>
      </c>
      <c r="R18" s="10">
        <f>38.19+3.03+24.46</f>
        <v>65.68</v>
      </c>
      <c r="S18" s="10">
        <f>3.89+27.65+40.33</f>
        <v>71.87</v>
      </c>
      <c r="T18" s="10">
        <f>3.57+32.22+63.66</f>
        <v>99.44999999999999</v>
      </c>
      <c r="U18" s="19">
        <f>3.68+32.46+27.01</f>
        <v>63.150000000000006</v>
      </c>
      <c r="V18" s="62">
        <f t="shared" si="4"/>
        <v>835.5499999999998</v>
      </c>
      <c r="W18" s="67">
        <f t="shared" si="5"/>
        <v>5901.339999999999</v>
      </c>
    </row>
    <row r="19" spans="1:23" ht="18.75" customHeight="1" thickBot="1">
      <c r="A19" s="42" t="s">
        <v>53</v>
      </c>
      <c r="B19" s="37" t="s">
        <v>9</v>
      </c>
      <c r="C19" s="49">
        <v>1308.84</v>
      </c>
      <c r="D19" s="78">
        <v>6202.2</v>
      </c>
      <c r="E19" s="49">
        <v>7806.57</v>
      </c>
      <c r="F19" s="49">
        <v>8191.2</v>
      </c>
      <c r="G19" s="78">
        <v>8387.67</v>
      </c>
      <c r="H19" s="49">
        <v>1885.31</v>
      </c>
      <c r="I19" s="49">
        <v>8523.94</v>
      </c>
      <c r="J19" s="9">
        <f>940.84-185.96</f>
        <v>754.88</v>
      </c>
      <c r="K19" s="10">
        <f>880.12-179.6</f>
        <v>700.52</v>
      </c>
      <c r="L19" s="10">
        <f>1107.18-383.28</f>
        <v>723.9000000000001</v>
      </c>
      <c r="M19" s="10">
        <f>1032.55-243.14-58.02</f>
        <v>731.39</v>
      </c>
      <c r="N19" s="10">
        <f>972.69-237.08</f>
        <v>735.61</v>
      </c>
      <c r="O19" s="10">
        <f>928.15-188.47</f>
        <v>739.68</v>
      </c>
      <c r="P19" s="10">
        <f>1003.81-180.41</f>
        <v>823.4</v>
      </c>
      <c r="Q19" s="10">
        <f>1059.71-307.04</f>
        <v>752.6700000000001</v>
      </c>
      <c r="R19" s="10">
        <f>939.49-193.07</f>
        <v>746.4200000000001</v>
      </c>
      <c r="S19" s="10">
        <f>993.02-260.69</f>
        <v>732.3299999999999</v>
      </c>
      <c r="T19" s="10">
        <f>1182.09-449.55</f>
        <v>732.54</v>
      </c>
      <c r="U19" s="19">
        <f>1226.4-513.57</f>
        <v>712.83</v>
      </c>
      <c r="V19" s="62">
        <f t="shared" si="4"/>
        <v>8886.17</v>
      </c>
      <c r="W19" s="67">
        <f t="shared" si="5"/>
        <v>51191.9</v>
      </c>
    </row>
    <row r="20" spans="1:23" ht="18.75" customHeight="1" thickBot="1">
      <c r="A20" s="42" t="s">
        <v>54</v>
      </c>
      <c r="B20" s="38" t="s">
        <v>4</v>
      </c>
      <c r="C20" s="50">
        <v>147.24</v>
      </c>
      <c r="D20" s="79">
        <v>985.01</v>
      </c>
      <c r="E20" s="50">
        <v>641.05</v>
      </c>
      <c r="F20" s="50">
        <v>564.84</v>
      </c>
      <c r="G20" s="79">
        <v>543.42</v>
      </c>
      <c r="H20" s="50">
        <v>548.9</v>
      </c>
      <c r="I20" s="50">
        <v>517.12</v>
      </c>
      <c r="J20" s="11">
        <v>37.51</v>
      </c>
      <c r="K20" s="12">
        <v>37.51</v>
      </c>
      <c r="L20" s="12">
        <v>23.6</v>
      </c>
      <c r="M20" s="12">
        <v>122.88</v>
      </c>
      <c r="N20" s="12">
        <v>30.56</v>
      </c>
      <c r="O20" s="12">
        <v>30.56</v>
      </c>
      <c r="P20" s="12">
        <v>30.56</v>
      </c>
      <c r="Q20" s="12">
        <v>30.56</v>
      </c>
      <c r="R20" s="12">
        <v>30.56</v>
      </c>
      <c r="S20" s="12">
        <v>72.3</v>
      </c>
      <c r="T20" s="12">
        <v>37.51</v>
      </c>
      <c r="U20" s="21">
        <v>30.56</v>
      </c>
      <c r="V20" s="62">
        <f t="shared" si="4"/>
        <v>514.67</v>
      </c>
      <c r="W20" s="67">
        <f t="shared" si="5"/>
        <v>4462.250000000003</v>
      </c>
    </row>
    <row r="21" spans="1:23" ht="18.75" customHeight="1" thickBot="1">
      <c r="A21" s="42"/>
      <c r="B21" s="45" t="s">
        <v>58</v>
      </c>
      <c r="C21" s="82"/>
      <c r="D21" s="83"/>
      <c r="E21" s="82"/>
      <c r="F21" s="82"/>
      <c r="G21" s="20">
        <f>G8*5%</f>
        <v>747</v>
      </c>
      <c r="H21" s="62">
        <f>H8*5%</f>
        <v>747</v>
      </c>
      <c r="I21" s="84">
        <f>I8*5%</f>
        <v>747</v>
      </c>
      <c r="J21" s="84">
        <f>J8*5%</f>
        <v>62.25</v>
      </c>
      <c r="K21" s="84">
        <f aca="true" t="shared" si="6" ref="K21:U21">K8*5%</f>
        <v>62.25</v>
      </c>
      <c r="L21" s="84">
        <f t="shared" si="6"/>
        <v>62.25</v>
      </c>
      <c r="M21" s="84">
        <f t="shared" si="6"/>
        <v>62.25</v>
      </c>
      <c r="N21" s="84">
        <f t="shared" si="6"/>
        <v>62.25</v>
      </c>
      <c r="O21" s="84">
        <f t="shared" si="6"/>
        <v>62.25</v>
      </c>
      <c r="P21" s="84">
        <f t="shared" si="6"/>
        <v>62.25</v>
      </c>
      <c r="Q21" s="84">
        <f t="shared" si="6"/>
        <v>62.25</v>
      </c>
      <c r="R21" s="84">
        <f t="shared" si="6"/>
        <v>62.25</v>
      </c>
      <c r="S21" s="84">
        <f t="shared" si="6"/>
        <v>62.25</v>
      </c>
      <c r="T21" s="84">
        <f t="shared" si="6"/>
        <v>62.25</v>
      </c>
      <c r="U21" s="84">
        <f t="shared" si="6"/>
        <v>62.25</v>
      </c>
      <c r="V21" s="85">
        <f t="shared" si="4"/>
        <v>747</v>
      </c>
      <c r="W21" s="70"/>
    </row>
    <row r="22" spans="1:23" ht="14.25" customHeight="1" thickBot="1">
      <c r="A22" s="93" t="s">
        <v>39</v>
      </c>
      <c r="B22" s="68" t="s">
        <v>49</v>
      </c>
      <c r="C22" s="69"/>
      <c r="D22" s="80"/>
      <c r="E22" s="69"/>
      <c r="F22" s="69"/>
      <c r="G22" s="80"/>
      <c r="H22" s="69"/>
      <c r="I22" s="69"/>
      <c r="J22" s="81">
        <f aca="true" t="shared" si="7" ref="J22:U22">SUM(J8-J11)-J21</f>
        <v>241.91000000000008</v>
      </c>
      <c r="K22" s="81">
        <f t="shared" si="7"/>
        <v>302.63</v>
      </c>
      <c r="L22" s="81">
        <f t="shared" si="7"/>
        <v>75.56999999999994</v>
      </c>
      <c r="M22" s="81">
        <f t="shared" si="7"/>
        <v>150.20000000000005</v>
      </c>
      <c r="N22" s="81">
        <f t="shared" si="7"/>
        <v>210.06000000000006</v>
      </c>
      <c r="O22" s="81">
        <f t="shared" si="7"/>
        <v>254.60000000000014</v>
      </c>
      <c r="P22" s="81">
        <f t="shared" si="7"/>
        <v>178.94000000000005</v>
      </c>
      <c r="Q22" s="81">
        <f t="shared" si="7"/>
        <v>123.03999999999996</v>
      </c>
      <c r="R22" s="81">
        <f t="shared" si="7"/>
        <v>243.26</v>
      </c>
      <c r="S22" s="81">
        <f t="shared" si="7"/>
        <v>189.73000000000013</v>
      </c>
      <c r="T22" s="81">
        <f t="shared" si="7"/>
        <v>0.6600000000000819</v>
      </c>
      <c r="U22" s="81">
        <f t="shared" si="7"/>
        <v>-43.65000000000009</v>
      </c>
      <c r="V22" s="61">
        <f t="shared" si="4"/>
        <v>1926.9500000000005</v>
      </c>
      <c r="W22" s="70"/>
    </row>
    <row r="23" spans="1:23" ht="31.5" customHeight="1" thickBot="1">
      <c r="A23" s="96" t="s">
        <v>40</v>
      </c>
      <c r="B23" s="97" t="s">
        <v>23</v>
      </c>
      <c r="C23" s="45">
        <v>1791.3</v>
      </c>
      <c r="D23" s="20">
        <f>SUM(D8-D11)</f>
        <v>-4191.939999999997</v>
      </c>
      <c r="E23" s="62">
        <f>SUM(E8-E11)</f>
        <v>2738.7100000000028</v>
      </c>
      <c r="F23" s="62">
        <f>SUM(F8-F11)</f>
        <v>1290.7800000000007</v>
      </c>
      <c r="G23" s="20">
        <f>SUM(G8-G11)-G21</f>
        <v>345.72999999999956</v>
      </c>
      <c r="H23" s="62">
        <f>SUM(H8-H11)-H21</f>
        <v>4708.500000000002</v>
      </c>
      <c r="I23" s="62">
        <f>SUM(I8-I11)-I21</f>
        <v>708.1899999999987</v>
      </c>
      <c r="J23" s="13">
        <f>SUM(J8-J11)-J21</f>
        <v>241.91000000000008</v>
      </c>
      <c r="K23" s="14">
        <f>SUM(K22+J23)</f>
        <v>544.5400000000001</v>
      </c>
      <c r="L23" s="14">
        <f aca="true" t="shared" si="8" ref="L23:U23">SUM(L22+K23)</f>
        <v>620.11</v>
      </c>
      <c r="M23" s="14">
        <f t="shared" si="8"/>
        <v>770.3100000000001</v>
      </c>
      <c r="N23" s="14">
        <f t="shared" si="8"/>
        <v>980.3700000000001</v>
      </c>
      <c r="O23" s="14">
        <f t="shared" si="8"/>
        <v>1234.9700000000003</v>
      </c>
      <c r="P23" s="14">
        <f t="shared" si="8"/>
        <v>1413.9100000000003</v>
      </c>
      <c r="Q23" s="14">
        <f t="shared" si="8"/>
        <v>1536.9500000000003</v>
      </c>
      <c r="R23" s="14">
        <f t="shared" si="8"/>
        <v>1780.2100000000003</v>
      </c>
      <c r="S23" s="14">
        <f t="shared" si="8"/>
        <v>1969.9400000000005</v>
      </c>
      <c r="T23" s="14">
        <f t="shared" si="8"/>
        <v>1970.6000000000006</v>
      </c>
      <c r="U23" s="14">
        <f t="shared" si="8"/>
        <v>1926.9500000000005</v>
      </c>
      <c r="V23" s="62"/>
      <c r="W23" s="53"/>
    </row>
    <row r="24" spans="1:23" ht="27" customHeight="1" hidden="1" thickBot="1">
      <c r="A24" s="94" t="s">
        <v>41</v>
      </c>
      <c r="B24" s="46" t="s">
        <v>24</v>
      </c>
      <c r="C24" s="46">
        <v>1791.3</v>
      </c>
      <c r="D24" s="95">
        <f>SUM(D8-D11,C24)</f>
        <v>-2400.6399999999967</v>
      </c>
      <c r="E24" s="63">
        <f>SUM(E8-E11,D24)</f>
        <v>338.0700000000061</v>
      </c>
      <c r="F24" s="63">
        <f>SUM(F8-F11,E24)</f>
        <v>1628.8500000000067</v>
      </c>
      <c r="G24" s="95">
        <f>SUM(G23+F24)</f>
        <v>1974.5800000000063</v>
      </c>
      <c r="H24" s="63">
        <f>SUM(H23+G24)</f>
        <v>6683.080000000008</v>
      </c>
      <c r="I24" s="63">
        <f>SUM(I23+H24)</f>
        <v>7391.270000000007</v>
      </c>
      <c r="J24" s="63">
        <f>SUM(J23+I24)</f>
        <v>7633.180000000007</v>
      </c>
      <c r="K24" s="16">
        <f>SUM(K22+J24)</f>
        <v>7935.810000000007</v>
      </c>
      <c r="L24" s="16">
        <f aca="true" t="shared" si="9" ref="L24:U24">SUM(L22+K24)</f>
        <v>8011.3800000000065</v>
      </c>
      <c r="M24" s="16">
        <f t="shared" si="9"/>
        <v>8161.580000000006</v>
      </c>
      <c r="N24" s="16">
        <f t="shared" si="9"/>
        <v>8371.640000000007</v>
      </c>
      <c r="O24" s="16">
        <f t="shared" si="9"/>
        <v>8626.240000000007</v>
      </c>
      <c r="P24" s="16">
        <f t="shared" si="9"/>
        <v>8805.180000000008</v>
      </c>
      <c r="Q24" s="16">
        <f t="shared" si="9"/>
        <v>8928.220000000008</v>
      </c>
      <c r="R24" s="16">
        <f t="shared" si="9"/>
        <v>9171.480000000009</v>
      </c>
      <c r="S24" s="16">
        <f t="shared" si="9"/>
        <v>9361.210000000008</v>
      </c>
      <c r="T24" s="16">
        <f t="shared" si="9"/>
        <v>9361.870000000008</v>
      </c>
      <c r="U24" s="16">
        <f t="shared" si="9"/>
        <v>9318.220000000008</v>
      </c>
      <c r="V24" s="63"/>
      <c r="W24" s="54"/>
    </row>
    <row r="25" spans="1:23" ht="9.75" customHeight="1" hidden="1" thickBot="1">
      <c r="A25" s="42" t="s">
        <v>41</v>
      </c>
      <c r="B25" s="45" t="s">
        <v>7</v>
      </c>
      <c r="C25" s="46"/>
      <c r="D25" s="46"/>
      <c r="E25" s="73"/>
      <c r="F25" s="73"/>
      <c r="G25" s="73"/>
      <c r="H25" s="73"/>
      <c r="I25" s="73"/>
      <c r="J25" s="15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22"/>
      <c r="V25" s="62"/>
      <c r="W25" s="55"/>
    </row>
    <row r="26" spans="1:23" ht="15" customHeight="1" hidden="1" thickBot="1">
      <c r="A26" s="42" t="s">
        <v>42</v>
      </c>
      <c r="B26" s="39" t="s">
        <v>25</v>
      </c>
      <c r="C26" s="46"/>
      <c r="D26" s="46"/>
      <c r="E26" s="73"/>
      <c r="F26" s="73"/>
      <c r="G26" s="73"/>
      <c r="H26" s="73"/>
      <c r="I26" s="73"/>
      <c r="J26" s="15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22"/>
      <c r="V26" s="63"/>
      <c r="W26" s="56"/>
    </row>
    <row r="27" spans="1:23" ht="24" customHeight="1" hidden="1" thickBot="1">
      <c r="A27" s="43" t="s">
        <v>43</v>
      </c>
      <c r="B27" s="40" t="s">
        <v>46</v>
      </c>
      <c r="C27" s="47"/>
      <c r="D27" s="47"/>
      <c r="E27" s="74"/>
      <c r="F27" s="74"/>
      <c r="G27" s="74"/>
      <c r="H27" s="74"/>
      <c r="I27" s="74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8">
        <f>SUM(U23-U25)</f>
        <v>1926.9500000000005</v>
      </c>
      <c r="V27" s="64"/>
      <c r="W27" s="57"/>
    </row>
    <row r="28" spans="1:23" ht="24" customHeight="1" hidden="1" thickBot="1">
      <c r="A28" s="43" t="s">
        <v>45</v>
      </c>
      <c r="B28" s="40" t="s">
        <v>26</v>
      </c>
      <c r="C28" s="47"/>
      <c r="D28" s="47"/>
      <c r="E28" s="74"/>
      <c r="F28" s="74"/>
      <c r="G28" s="74"/>
      <c r="H28" s="74"/>
      <c r="I28" s="74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8">
        <f>SUM(U24-U25)</f>
        <v>9318.220000000008</v>
      </c>
      <c r="V28" s="64"/>
      <c r="W28" s="57"/>
    </row>
    <row r="29" spans="3:23" ht="24" customHeight="1" hidden="1">
      <c r="C29" s="24"/>
      <c r="D29" s="24"/>
      <c r="E29" s="24"/>
      <c r="F29" s="24"/>
      <c r="G29" s="24"/>
      <c r="H29" s="24"/>
      <c r="I29" s="24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/>
    </row>
    <row r="31" ht="0.75" customHeight="1"/>
    <row r="32" ht="12.75" hidden="1"/>
    <row r="33" ht="12.75" hidden="1"/>
    <row r="34" ht="12.75">
      <c r="B34" t="s">
        <v>65</v>
      </c>
    </row>
    <row r="38" ht="12.75" customHeight="1"/>
    <row r="39" ht="12.75" customHeight="1"/>
  </sheetData>
  <sheetProtection/>
  <mergeCells count="5">
    <mergeCell ref="B4:W4"/>
    <mergeCell ref="B5:W5"/>
    <mergeCell ref="B3:W3"/>
    <mergeCell ref="B1:L1"/>
    <mergeCell ref="B2:S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2018-02-07T10:30:49Z</cp:lastPrinted>
  <dcterms:created xsi:type="dcterms:W3CDTF">2011-06-16T11:06:26Z</dcterms:created>
  <dcterms:modified xsi:type="dcterms:W3CDTF">2018-02-12T07:45:53Z</dcterms:modified>
  <cp:category/>
  <cp:version/>
  <cp:contentType/>
  <cp:contentStatus/>
</cp:coreProperties>
</file>