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<sst xmlns="http://schemas.openxmlformats.org/spreadsheetml/2006/main" count="80" uniqueCount="80">
  <si>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</si>
  <si>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</si>
  <si>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</si>
  <si>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</si>
  <si>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</si>
  <si>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</si>
  <si>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</si>
  <si>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</si>
  <si>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</si>
  <si>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</si>
  <si>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</si>
  <si>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</si>
  <si>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</si>
  <si>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</si>
  <si>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</si>
  <si>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</si>
  <si>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</si>
  <si>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</si>
  <si>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</si>
  <si>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</si>
  <si>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</si>
  <si>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</si>
  <si>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</si>
  <si>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</si>
  <si>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</si>
  <si>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</si>
  <si>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</si>
  <si>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</si>
  <si>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</si>
  <si>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</si>
  <si>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</si>
  <si>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</si>
  <si>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</si>
  <si>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</si>
  <si>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</si>
  <si>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</si>
  <si>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4.5</t>
  </si>
  <si>
    <t>4.7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</si>
  <si>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</si>
  <si>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</si>
  <si>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</si>
  <si>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</si>
  <si>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</si>
  <si>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</si>
  <si>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</si>
  <si>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</si>
  <si>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</si>
  <si>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</si>
  <si>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4,12</t>
  </si>
  <si>
    <t>4.13</t>
  </si>
  <si>
    <t xml:space="preserve">Материалы </t>
  </si>
  <si>
    <t>4.14</t>
  </si>
  <si>
    <t>5</t>
  </si>
  <si>
    <t>4.15</t>
  </si>
  <si>
    <t>%  оплаты</t>
  </si>
  <si>
    <t>рентабельность 5%</t>
  </si>
  <si>
    <t>Итого за 2015</t>
  </si>
  <si>
    <t>Услуги сторонних орган.</t>
  </si>
  <si>
    <t>по жилому дому г. Унеча ул. Луначарского  д.5</t>
  </si>
  <si>
    <t>4.4</t>
  </si>
  <si>
    <t>Проверка вент.каналов</t>
  </si>
  <si>
    <t xml:space="preserve">Расходы на управление,аренда, связь </t>
  </si>
  <si>
    <t>Исполнитель  вед. экономист /Викторова Л.С/</t>
  </si>
  <si>
    <t xml:space="preserve">Услуги агентские,охрана труда,отопление, хол.вода, эл.энегрия   </t>
  </si>
  <si>
    <t>66518,14</t>
  </si>
  <si>
    <t>Итого за 2016</t>
  </si>
  <si>
    <t>Дом по ул.Луначарского д. 5 вступил в ООО "Наш дом" с мая 2015 года                              тариф 11,50 руб</t>
  </si>
  <si>
    <t>4.8</t>
  </si>
  <si>
    <t>Дератизация</t>
  </si>
  <si>
    <t>103544,58</t>
  </si>
  <si>
    <t>Итого за 2017</t>
  </si>
  <si>
    <t>Всего за 2015-2017</t>
  </si>
  <si>
    <t>Начислено   СОИД</t>
  </si>
  <si>
    <t>Начислено  нежилые</t>
  </si>
  <si>
    <t>4.9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</si>
  <si>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</si>
  <si>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</si>
  <si>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</si>
  <si>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</si>
  <si>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Транспортные(ГСМ,зап.части,амортизация,страхование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</si>
</sst>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1" fontId="20" fillId="0" borderId="39" xfId="0" applyNumberFormat="1" applyFon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0" fillId="0" borderId="40" xfId="0" applyNumberFormat="1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27" xfId="0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2" fontId="21" fillId="0" borderId="19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1" fontId="21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42" xfId="0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49" fontId="21" fillId="0" borderId="42" xfId="0" applyNumberFormat="1" applyFont="1" applyBorder="1" applyAlignment="1">
      <alignment horizontal="right" wrapText="1"/>
    </xf>
    <xf numFmtId="0" fontId="21" fillId="0" borderId="33" xfId="0" applyFont="1" applyBorder="1" applyAlignment="1">
      <alignment horizontal="right" wrapText="1"/>
    </xf>
    <xf numFmtId="0" fontId="25" fillId="0" borderId="32" xfId="0" applyFont="1" applyBorder="1" applyAlignment="1">
      <alignment/>
    </xf>
    <xf numFmtId="1" fontId="25" fillId="0" borderId="39" xfId="0" applyNumberFormat="1" applyFont="1" applyBorder="1" applyAlignment="1">
      <alignment horizontal="center"/>
    </xf>
    <xf numFmtId="2" fontId="25" fillId="0" borderId="40" xfId="0" applyNumberFormat="1" applyFont="1" applyBorder="1" applyAlignment="1">
      <alignment/>
    </xf>
    <xf numFmtId="0" fontId="24" fillId="0" borderId="45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1" fontId="21" fillId="0" borderId="46" xfId="0" applyNumberFormat="1" applyFont="1" applyBorder="1" applyAlignment="1">
      <alignment horizontal="center"/>
    </xf>
    <xf numFmtId="0" fontId="21" fillId="0" borderId="47" xfId="0" applyFont="1" applyBorder="1" applyAlignment="1">
      <alignment/>
    </xf>
    <xf numFmtId="49" fontId="21" fillId="0" borderId="48" xfId="0" applyNumberFormat="1" applyFont="1" applyBorder="1" applyAlignment="1">
      <alignment horizontal="right" wrapText="1"/>
    </xf>
    <xf numFmtId="0" fontId="21" fillId="0" borderId="46" xfId="0" applyFont="1" applyBorder="1" applyAlignment="1">
      <alignment horizontal="right" wrapText="1"/>
    </xf>
    <xf numFmtId="0" fontId="21" fillId="0" borderId="46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2" fontId="21" fillId="0" borderId="23" xfId="0" applyNumberFormat="1" applyFont="1" applyBorder="1" applyAlignment="1">
      <alignment/>
    </xf>
    <xf numFmtId="0" fontId="21" fillId="0" borderId="50" xfId="0" applyFont="1" applyBorder="1" applyAlignment="1">
      <alignment wrapText="1"/>
    </xf>
    <xf numFmtId="2" fontId="21" fillId="0" borderId="25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5">
      <selection activeCell="B26" sqref="B26"/>
    </sheetView>
  </sheetViews>
  <sheetFormatPr defaultColWidth="9.00390625" defaultRowHeight="12.75"/>
  <cols>
    <col min="1" max="1" width="0.2421875" style="27" customWidth="1"/>
    <col min="2" max="2" width="24.125" style="0" customWidth="1"/>
    <col min="3" max="3" width="10.00390625" style="0" hidden="1" customWidth="1"/>
    <col min="4" max="4" width="8.75390625" style="0" hidden="1" customWidth="1"/>
    <col min="5" max="5" width="8.625" style="0" customWidth="1"/>
    <col min="6" max="6" width="8.875" style="0" customWidth="1"/>
    <col min="7" max="8" width="8.375" style="0" customWidth="1"/>
    <col min="9" max="9" width="8.125" style="0" customWidth="1"/>
    <col min="10" max="12" width="8.25390625" style="0" customWidth="1"/>
    <col min="13" max="13" width="8.375" style="0" customWidth="1"/>
    <col min="14" max="15" width="8.625" style="0" customWidth="1"/>
    <col min="16" max="16" width="8.25390625" style="0" customWidth="1"/>
    <col min="17" max="17" width="12.00390625" style="0" customWidth="1"/>
    <col min="18" max="18" width="9.625" style="0" hidden="1" customWidth="1"/>
  </cols>
  <sheetData>
    <row r="1" spans="2:23" ht="12.75" customHeight="1">
      <c r="B1" s="100" t="s">
        <v>9</v>
      </c>
      <c r="C1" s="100"/>
      <c r="D1" s="100"/>
      <c r="E1" s="100"/>
      <c r="F1" s="100"/>
      <c r="G1" s="10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 customHeight="1">
      <c r="B2" s="100" t="s">
        <v>66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4"/>
      <c r="R2" s="4"/>
      <c r="S2" s="4"/>
      <c r="T2" s="4"/>
      <c r="U2" s="4"/>
      <c r="V2" s="4"/>
      <c r="W2" s="4"/>
    </row>
    <row r="3" spans="2:23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"/>
      <c r="T3" s="3"/>
      <c r="U3" s="3"/>
      <c r="V3" s="3"/>
      <c r="W3" s="3"/>
    </row>
    <row r="4" spans="2:23" ht="21.75" customHeight="1">
      <c r="B4" s="98" t="s">
        <v>11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2"/>
      <c r="T4" s="2"/>
      <c r="U4" s="2"/>
      <c r="V4" s="2"/>
      <c r="W4" s="2"/>
    </row>
    <row r="5" spans="2:23" ht="15.75" customHeight="1" thickBot="1">
      <c r="B5" s="98" t="s">
        <v>58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2"/>
      <c r="T5" s="2"/>
      <c r="U5" s="2"/>
      <c r="V5" s="2"/>
      <c r="W5" s="2"/>
    </row>
    <row r="6" spans="2:23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</row>
    <row r="7" spans="1:23" ht="32.25" customHeight="1" thickBot="1">
      <c r="A7" s="38" t="s">
        <v>28</v>
      </c>
      <c r="B7" s="28" t="s">
        <v>7</v>
      </c>
      <c r="C7" s="49" t="s">
        <v>56</v>
      </c>
      <c r="D7" s="49" t="s">
        <v>65</v>
      </c>
      <c r="E7" s="6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23</v>
      </c>
      <c r="P7" s="16" t="s">
        <v>22</v>
      </c>
      <c r="Q7" s="49" t="s">
        <v>70</v>
      </c>
      <c r="R7" s="45" t="s">
        <v>71</v>
      </c>
      <c r="S7" s="1"/>
      <c r="T7" s="1"/>
      <c r="U7" s="1"/>
      <c r="V7" s="1"/>
      <c r="W7" s="1"/>
    </row>
    <row r="8" spans="1:18" ht="13.5" thickBot="1">
      <c r="A8" s="39" t="s">
        <v>29</v>
      </c>
      <c r="B8" s="29" t="s">
        <v>1</v>
      </c>
      <c r="C8" s="82">
        <v>378872.78</v>
      </c>
      <c r="D8" s="94">
        <v>641812.54</v>
      </c>
      <c r="E8" s="7">
        <v>50148.63</v>
      </c>
      <c r="F8" s="8">
        <v>50148.63</v>
      </c>
      <c r="G8" s="8">
        <v>50148.63</v>
      </c>
      <c r="H8" s="8">
        <v>50133.68</v>
      </c>
      <c r="I8" s="8">
        <v>50133.68</v>
      </c>
      <c r="J8" s="8">
        <v>50118.73</v>
      </c>
      <c r="K8" s="8">
        <v>50125.63</v>
      </c>
      <c r="L8" s="8">
        <v>50125.63</v>
      </c>
      <c r="M8" s="8">
        <v>50138.28</v>
      </c>
      <c r="N8" s="8">
        <v>50138.28</v>
      </c>
      <c r="O8" s="8">
        <v>50138.28</v>
      </c>
      <c r="P8" s="17">
        <v>50126.78</v>
      </c>
      <c r="Q8" s="73">
        <f>SUM(E8:P8)</f>
        <v>601624.8600000001</v>
      </c>
      <c r="R8" s="79">
        <f>SUM(C8:P8)</f>
        <v>1622310.1799999995</v>
      </c>
    </row>
    <row r="9" spans="1:18" ht="13.5" thickBot="1">
      <c r="A9" s="39"/>
      <c r="B9" s="29" t="s">
        <v>72</v>
      </c>
      <c r="C9" s="96"/>
      <c r="D9" s="97"/>
      <c r="E9" s="7">
        <f>4527.47+154.55+946.52</f>
        <v>5628.540000000001</v>
      </c>
      <c r="F9" s="8">
        <f>4527.47+154.55+946.52</f>
        <v>5628.540000000001</v>
      </c>
      <c r="G9" s="8">
        <f>4527.47+154.55+946.52</f>
        <v>5628.540000000001</v>
      </c>
      <c r="H9" s="8">
        <f>4527.56+154.6+946.5</f>
        <v>5628.660000000001</v>
      </c>
      <c r="I9" s="8">
        <f>4527.56+154.6+946.5</f>
        <v>5628.660000000001</v>
      </c>
      <c r="J9" s="8">
        <f>6117.07+164.23+235.52+650.77</f>
        <v>7167.59</v>
      </c>
      <c r="K9" s="8">
        <f>1452.21+165.76+241.2+668.23</f>
        <v>2527.4</v>
      </c>
      <c r="L9" s="8">
        <f>3784.7+165.76+241.2+668.23</f>
        <v>4859.889999999999</v>
      </c>
      <c r="M9" s="8">
        <f>3784.73+165.73+241.12+668.31</f>
        <v>4859.889999999999</v>
      </c>
      <c r="N9" s="8">
        <f>3784.73+165.73+241.12+668.31</f>
        <v>4859.889999999999</v>
      </c>
      <c r="O9" s="8">
        <f>3784.73+165.73+241.12+668.31</f>
        <v>4859.889999999999</v>
      </c>
      <c r="P9" s="17">
        <f>3784.73+165.73+241.12+668.31</f>
        <v>4859.889999999999</v>
      </c>
      <c r="Q9" s="73">
        <f>SUM(E9:P9)</f>
        <v>62137.38</v>
      </c>
      <c r="R9" s="79">
        <f>SUM(C9:P9)</f>
        <v>62137.38</v>
      </c>
    </row>
    <row r="10" spans="1:18" ht="13.5" thickBot="1">
      <c r="A10" s="39"/>
      <c r="B10" s="29" t="s">
        <v>73</v>
      </c>
      <c r="C10" s="96"/>
      <c r="D10" s="97"/>
      <c r="E10" s="7">
        <v>5416.26</v>
      </c>
      <c r="F10" s="8">
        <v>5416.26</v>
      </c>
      <c r="G10" s="8">
        <v>5416.26</v>
      </c>
      <c r="H10" s="8">
        <v>5416.26</v>
      </c>
      <c r="I10" s="8">
        <v>5416.26</v>
      </c>
      <c r="J10" s="8">
        <v>5557.58</v>
      </c>
      <c r="K10" s="8">
        <v>5582.51</v>
      </c>
      <c r="L10" s="8">
        <v>5582.51</v>
      </c>
      <c r="M10" s="8">
        <v>5582.51</v>
      </c>
      <c r="N10" s="8">
        <v>5582.51</v>
      </c>
      <c r="O10" s="8">
        <v>5582.51</v>
      </c>
      <c r="P10" s="17">
        <v>5582.51</v>
      </c>
      <c r="Q10" s="73">
        <f>SUM(E10:P10)</f>
        <v>66133.94000000002</v>
      </c>
      <c r="R10" s="79">
        <f>SUM(C10:P10)</f>
        <v>66133.94000000002</v>
      </c>
    </row>
    <row r="11" spans="1:18" ht="12.75">
      <c r="A11" s="39" t="s">
        <v>30</v>
      </c>
      <c r="B11" s="30" t="s">
        <v>2</v>
      </c>
      <c r="C11" s="83">
        <v>321629.36</v>
      </c>
      <c r="D11" s="95">
        <v>621072.91</v>
      </c>
      <c r="E11" s="9">
        <v>46784.21</v>
      </c>
      <c r="F11" s="10">
        <v>62666.46</v>
      </c>
      <c r="G11" s="10">
        <v>65552.03</v>
      </c>
      <c r="H11" s="10">
        <v>53149.73</v>
      </c>
      <c r="I11" s="10">
        <v>69236.73</v>
      </c>
      <c r="J11" s="10">
        <v>62577.77</v>
      </c>
      <c r="K11" s="10">
        <v>62386.64</v>
      </c>
      <c r="L11" s="10">
        <v>55315.4</v>
      </c>
      <c r="M11" s="10">
        <v>67986.21</v>
      </c>
      <c r="N11" s="10">
        <v>57376.7</v>
      </c>
      <c r="O11" s="10">
        <v>56742.58</v>
      </c>
      <c r="P11" s="18">
        <v>59671</v>
      </c>
      <c r="Q11" s="74">
        <f>SUM(E11:P11)</f>
        <v>719445.46</v>
      </c>
      <c r="R11" s="79">
        <f>SUM(C11:P11)</f>
        <v>1662147.7299999997</v>
      </c>
    </row>
    <row r="12" spans="1:18" ht="13.5" customHeight="1" thickBot="1">
      <c r="A12" s="39" t="s">
        <v>31</v>
      </c>
      <c r="B12" s="31" t="s">
        <v>54</v>
      </c>
      <c r="C12" s="84">
        <f>SUM(C11/C8*100)</f>
        <v>84.89112361146661</v>
      </c>
      <c r="D12" s="72">
        <f>SUM(D11/D8*100)</f>
        <v>96.768584484186</v>
      </c>
      <c r="E12" s="22">
        <f>SUM(E11/E8*100)</f>
        <v>93.29110286761573</v>
      </c>
      <c r="F12" s="22">
        <f aca="true" t="shared" si="0" ref="F12:P12">SUM(F11/F8*100)</f>
        <v>124.96145956529621</v>
      </c>
      <c r="G12" s="22">
        <f t="shared" si="0"/>
        <v>130.71549511920864</v>
      </c>
      <c r="H12" s="22">
        <f t="shared" si="0"/>
        <v>106.01601558074334</v>
      </c>
      <c r="I12" s="22">
        <f t="shared" si="0"/>
        <v>138.1042245452558</v>
      </c>
      <c r="J12" s="22">
        <f t="shared" si="0"/>
        <v>124.859049700581</v>
      </c>
      <c r="K12" s="22">
        <f t="shared" si="0"/>
        <v>124.46056039594914</v>
      </c>
      <c r="L12" s="22">
        <f t="shared" si="0"/>
        <v>110.35352573124769</v>
      </c>
      <c r="M12" s="22">
        <f t="shared" si="0"/>
        <v>135.59741179793164</v>
      </c>
      <c r="N12" s="22">
        <f t="shared" si="0"/>
        <v>114.43691327265316</v>
      </c>
      <c r="O12" s="22">
        <f t="shared" si="0"/>
        <v>113.17217104376138</v>
      </c>
      <c r="P12" s="44">
        <f t="shared" si="0"/>
        <v>119.04016176582657</v>
      </c>
      <c r="Q12" s="53">
        <f>SUM(Q11/Q8*100)</f>
        <v>119.58373196213996</v>
      </c>
      <c r="R12" s="80">
        <f>SUM(R11/R8*100)</f>
        <v>102.45560623924584</v>
      </c>
    </row>
    <row r="13" spans="1:18" ht="13.5" thickBot="1">
      <c r="A13" s="39" t="s">
        <v>32</v>
      </c>
      <c r="B13" s="32" t="s">
        <v>3</v>
      </c>
      <c r="C13" s="85">
        <v>404050.99</v>
      </c>
      <c r="D13" s="50">
        <v>595392.82</v>
      </c>
      <c r="E13" s="13">
        <f>SUM(E14:E29)</f>
        <v>49777.75000000001</v>
      </c>
      <c r="F13" s="13">
        <f aca="true" t="shared" si="1" ref="F13:P13">SUM(F14:F29)</f>
        <v>48243.52000000001</v>
      </c>
      <c r="G13" s="13">
        <f t="shared" si="1"/>
        <v>57997.87</v>
      </c>
      <c r="H13" s="13">
        <f t="shared" si="1"/>
        <v>49291.11</v>
      </c>
      <c r="I13" s="13">
        <f t="shared" si="1"/>
        <v>52705.46000000001</v>
      </c>
      <c r="J13" s="13">
        <f t="shared" si="1"/>
        <v>58412.69</v>
      </c>
      <c r="K13" s="13">
        <f t="shared" si="1"/>
        <v>59073.95</v>
      </c>
      <c r="L13" s="13">
        <f t="shared" si="1"/>
        <v>48914.34</v>
      </c>
      <c r="M13" s="13">
        <f t="shared" si="1"/>
        <v>54783.27</v>
      </c>
      <c r="N13" s="13">
        <f t="shared" si="1"/>
        <v>53311.57</v>
      </c>
      <c r="O13" s="13">
        <f t="shared" si="1"/>
        <v>54750.72000000001</v>
      </c>
      <c r="P13" s="19">
        <f t="shared" si="1"/>
        <v>52013.33</v>
      </c>
      <c r="Q13" s="50">
        <f>SUM(E13:P13)</f>
        <v>639275.58</v>
      </c>
      <c r="R13" s="79">
        <f>SUM(C13:P13)</f>
        <v>1638719.3900000004</v>
      </c>
    </row>
    <row r="14" spans="1:18" ht="13.5" thickBot="1">
      <c r="A14" s="39" t="s">
        <v>33</v>
      </c>
      <c r="B14" s="33" t="s">
        <v>5</v>
      </c>
      <c r="C14" s="86" t="s">
        <v>64</v>
      </c>
      <c r="D14" s="77" t="s">
        <v>69</v>
      </c>
      <c r="E14" s="7">
        <f>8480+104.93</f>
        <v>8584.93</v>
      </c>
      <c r="F14" s="8">
        <f>8374+487.5</f>
        <v>8861.5</v>
      </c>
      <c r="G14" s="8">
        <f>8321+284.6</f>
        <v>8605.6</v>
      </c>
      <c r="H14" s="8">
        <f>8321+901.92</f>
        <v>9222.92</v>
      </c>
      <c r="I14" s="8">
        <f>8268+447.55</f>
        <v>8715.55</v>
      </c>
      <c r="J14" s="8">
        <f>8056+267.13</f>
        <v>8323.13</v>
      </c>
      <c r="K14" s="8">
        <f>8109+423.38</f>
        <v>8532.38</v>
      </c>
      <c r="L14" s="8">
        <f>8109+492.28</f>
        <v>8601.28</v>
      </c>
      <c r="M14" s="8">
        <f>8162+512.25</f>
        <v>8674.25</v>
      </c>
      <c r="N14" s="8">
        <f>8003+522.9</f>
        <v>8525.9</v>
      </c>
      <c r="O14" s="8">
        <f>7897+451.52</f>
        <v>8348.52</v>
      </c>
      <c r="P14" s="17">
        <f>7897+452.35</f>
        <v>8349.35</v>
      </c>
      <c r="Q14" s="50">
        <f aca="true" t="shared" si="2" ref="Q14:Q31">SUM(E14:P14)</f>
        <v>103345.31</v>
      </c>
      <c r="R14" s="79">
        <f aca="true" t="shared" si="3" ref="R14:R29">SUM(C14:P14)</f>
        <v>103345.31</v>
      </c>
    </row>
    <row r="15" spans="1:18" ht="12.75" customHeight="1" thickBot="1">
      <c r="A15" s="39" t="s">
        <v>34</v>
      </c>
      <c r="B15" s="34" t="s">
        <v>57</v>
      </c>
      <c r="C15" s="87">
        <v>9222.13</v>
      </c>
      <c r="D15" s="78">
        <v>9270.35</v>
      </c>
      <c r="E15" s="9"/>
      <c r="F15" s="10"/>
      <c r="G15" s="10"/>
      <c r="H15" s="10"/>
      <c r="I15" s="10">
        <v>320</v>
      </c>
      <c r="J15" s="10"/>
      <c r="K15" s="10"/>
      <c r="L15" s="10"/>
      <c r="M15" s="10"/>
      <c r="N15" s="10"/>
      <c r="O15" s="10">
        <v>5000</v>
      </c>
      <c r="P15" s="18"/>
      <c r="Q15" s="50">
        <f>SUM(E15:P15)</f>
        <v>5320</v>
      </c>
      <c r="R15" s="79">
        <f t="shared" si="3"/>
        <v>23812.48</v>
      </c>
    </row>
    <row r="16" spans="1:18" ht="14.25" customHeight="1" thickBot="1">
      <c r="A16" s="39" t="s">
        <v>35</v>
      </c>
      <c r="B16" s="31" t="s">
        <v>6</v>
      </c>
      <c r="C16" s="87">
        <v>14774</v>
      </c>
      <c r="D16" s="78">
        <v>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8"/>
      <c r="Q16" s="50">
        <f t="shared" si="2"/>
        <v>0</v>
      </c>
      <c r="R16" s="79">
        <f t="shared" si="3"/>
        <v>14774</v>
      </c>
    </row>
    <row r="17" spans="1:18" ht="14.25" customHeight="1" thickBot="1">
      <c r="A17" s="39" t="s">
        <v>59</v>
      </c>
      <c r="B17" s="31" t="s">
        <v>60</v>
      </c>
      <c r="C17" s="87">
        <v>2500</v>
      </c>
      <c r="D17" s="78">
        <v>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8">
        <v>3200</v>
      </c>
      <c r="Q17" s="50">
        <f t="shared" si="2"/>
        <v>3200</v>
      </c>
      <c r="R17" s="79">
        <f t="shared" si="3"/>
        <v>5700</v>
      </c>
    </row>
    <row r="18" spans="1:18" ht="12" customHeight="1" thickBot="1">
      <c r="A18" s="39" t="s">
        <v>36</v>
      </c>
      <c r="B18" s="34" t="s">
        <v>50</v>
      </c>
      <c r="C18" s="88">
        <v>47648.23</v>
      </c>
      <c r="D18" s="69">
        <v>68861.6</v>
      </c>
      <c r="E18" s="9">
        <v>1070.81</v>
      </c>
      <c r="F18" s="10">
        <v>1149.79</v>
      </c>
      <c r="G18" s="10">
        <f>6160.37+950</f>
        <v>7110.37</v>
      </c>
      <c r="H18" s="10">
        <v>692.75</v>
      </c>
      <c r="I18" s="10">
        <f>876.82+150</f>
        <v>1026.8200000000002</v>
      </c>
      <c r="J18" s="10">
        <f>5696.75-900</f>
        <v>4796.75</v>
      </c>
      <c r="K18" s="10">
        <f>9608.1+1500</f>
        <v>11108.1</v>
      </c>
      <c r="L18" s="10">
        <f>233+95</f>
        <v>328</v>
      </c>
      <c r="M18" s="10">
        <f>3565.75+1970</f>
        <v>5535.75</v>
      </c>
      <c r="N18" s="10">
        <v>4107.2</v>
      </c>
      <c r="O18" s="10">
        <v>75</v>
      </c>
      <c r="P18" s="18">
        <v>1587.4</v>
      </c>
      <c r="Q18" s="50">
        <f t="shared" si="2"/>
        <v>38588.74</v>
      </c>
      <c r="R18" s="79">
        <f t="shared" si="3"/>
        <v>155098.57</v>
      </c>
    </row>
    <row r="19" spans="1:18" ht="12" customHeight="1" thickBot="1">
      <c r="A19" s="39" t="s">
        <v>37</v>
      </c>
      <c r="B19" s="34" t="s">
        <v>45</v>
      </c>
      <c r="C19" s="88">
        <v>0</v>
      </c>
      <c r="D19" s="69">
        <v>1986</v>
      </c>
      <c r="E19" s="9">
        <v>8</v>
      </c>
      <c r="F19" s="10">
        <v>94.94</v>
      </c>
      <c r="G19" s="10"/>
      <c r="H19" s="10"/>
      <c r="I19" s="10"/>
      <c r="J19" s="10">
        <v>900</v>
      </c>
      <c r="K19" s="10"/>
      <c r="L19" s="10"/>
      <c r="M19" s="10"/>
      <c r="N19" s="10"/>
      <c r="O19" s="10"/>
      <c r="P19" s="18">
        <v>325.15</v>
      </c>
      <c r="Q19" s="50">
        <f t="shared" si="2"/>
        <v>1328.0900000000001</v>
      </c>
      <c r="R19" s="79">
        <f t="shared" si="3"/>
        <v>3314.09</v>
      </c>
    </row>
    <row r="20" spans="1:18" ht="15" customHeight="1" thickBot="1">
      <c r="A20" s="39" t="s">
        <v>67</v>
      </c>
      <c r="B20" s="34" t="s">
        <v>68</v>
      </c>
      <c r="C20" s="88"/>
      <c r="D20" s="69">
        <v>861.14</v>
      </c>
      <c r="E20" s="9">
        <v>297.75</v>
      </c>
      <c r="F20" s="10"/>
      <c r="G20" s="10"/>
      <c r="H20" s="10">
        <v>267.99</v>
      </c>
      <c r="I20" s="10"/>
      <c r="J20" s="10">
        <v>282.88</v>
      </c>
      <c r="K20" s="10"/>
      <c r="L20" s="10"/>
      <c r="M20" s="10">
        <v>365.5</v>
      </c>
      <c r="N20" s="10"/>
      <c r="O20" s="10"/>
      <c r="P20" s="18">
        <v>307.13</v>
      </c>
      <c r="Q20" s="50">
        <f t="shared" si="2"/>
        <v>1521.25</v>
      </c>
      <c r="R20" s="79">
        <f t="shared" si="3"/>
        <v>2382.39</v>
      </c>
    </row>
    <row r="21" spans="1:18" ht="14.25" customHeight="1" thickBot="1">
      <c r="A21" s="39" t="s">
        <v>74</v>
      </c>
      <c r="B21" s="34" t="s">
        <v>75</v>
      </c>
      <c r="C21" s="88"/>
      <c r="D21" s="69"/>
      <c r="E21" s="9">
        <v>4527.47</v>
      </c>
      <c r="F21" s="10">
        <v>4527.47</v>
      </c>
      <c r="G21" s="10">
        <v>4527.47</v>
      </c>
      <c r="H21" s="10">
        <v>4527.56</v>
      </c>
      <c r="I21" s="10">
        <v>4527.56</v>
      </c>
      <c r="J21" s="10">
        <v>6117.07</v>
      </c>
      <c r="K21" s="10">
        <v>1452.21</v>
      </c>
      <c r="L21" s="10">
        <v>3784.7</v>
      </c>
      <c r="M21" s="10">
        <v>3784.73</v>
      </c>
      <c r="N21" s="10">
        <v>3784.73</v>
      </c>
      <c r="O21" s="10">
        <v>3784.73</v>
      </c>
      <c r="P21" s="18">
        <v>3784.73</v>
      </c>
      <c r="Q21" s="50">
        <f t="shared" si="2"/>
        <v>49130.430000000015</v>
      </c>
      <c r="R21" s="79">
        <f t="shared" si="3"/>
        <v>49130.430000000015</v>
      </c>
    </row>
    <row r="22" spans="1:18" ht="12" customHeight="1" thickBot="1">
      <c r="A22" s="39"/>
      <c r="B22" s="34" t="s">
        <v>77</v>
      </c>
      <c r="C22" s="88"/>
      <c r="D22" s="69"/>
      <c r="E22" s="9"/>
      <c r="F22" s="10"/>
      <c r="G22" s="10"/>
      <c r="H22" s="10"/>
      <c r="I22" s="10">
        <v>618.2</v>
      </c>
      <c r="J22" s="10">
        <v>318.76</v>
      </c>
      <c r="K22" s="10">
        <v>165.78</v>
      </c>
      <c r="L22" s="10">
        <v>165.78</v>
      </c>
      <c r="M22" s="10">
        <v>165.78</v>
      </c>
      <c r="N22" s="10">
        <v>165.78</v>
      </c>
      <c r="O22" s="10">
        <v>165.78</v>
      </c>
      <c r="P22" s="18">
        <v>165.78</v>
      </c>
      <c r="Q22" s="50">
        <f t="shared" si="2"/>
        <v>1931.6399999999999</v>
      </c>
      <c r="R22" s="79">
        <f t="shared" si="3"/>
        <v>1931.6399999999999</v>
      </c>
    </row>
    <row r="23" spans="1:18" ht="12.75" customHeight="1" thickBot="1">
      <c r="A23" s="39"/>
      <c r="B23" s="34" t="s">
        <v>76</v>
      </c>
      <c r="C23" s="88"/>
      <c r="D23" s="69"/>
      <c r="E23" s="9">
        <v>946.52</v>
      </c>
      <c r="F23" s="10">
        <v>1030.99</v>
      </c>
      <c r="G23" s="10">
        <v>1030.99</v>
      </c>
      <c r="H23" s="10">
        <v>1030.97</v>
      </c>
      <c r="I23" s="10">
        <v>1030.97</v>
      </c>
      <c r="J23" s="10">
        <v>708.84</v>
      </c>
      <c r="K23" s="10">
        <v>727.87</v>
      </c>
      <c r="L23" s="10">
        <v>727.87</v>
      </c>
      <c r="M23" s="10">
        <v>727.95</v>
      </c>
      <c r="N23" s="10">
        <v>727.95</v>
      </c>
      <c r="O23" s="10">
        <v>727.95</v>
      </c>
      <c r="P23" s="18">
        <v>727.95</v>
      </c>
      <c r="Q23" s="50">
        <f>SUM(E23:P23)</f>
        <v>10146.820000000002</v>
      </c>
      <c r="R23" s="79">
        <f>SUM(C23:P23)</f>
        <v>10146.820000000002</v>
      </c>
    </row>
    <row r="24" spans="1:18" ht="12.75" customHeight="1" thickBot="1">
      <c r="A24" s="39"/>
      <c r="B24" s="34" t="s">
        <v>78</v>
      </c>
      <c r="C24" s="88"/>
      <c r="D24" s="69"/>
      <c r="E24" s="9"/>
      <c r="F24" s="10"/>
      <c r="G24" s="10"/>
      <c r="H24" s="10"/>
      <c r="I24" s="10"/>
      <c r="J24" s="10">
        <v>235.45</v>
      </c>
      <c r="K24" s="10">
        <v>241.13</v>
      </c>
      <c r="L24" s="10">
        <v>241.13</v>
      </c>
      <c r="M24" s="10">
        <v>241.13</v>
      </c>
      <c r="N24" s="10">
        <v>241.13</v>
      </c>
      <c r="O24" s="10">
        <v>241.13</v>
      </c>
      <c r="P24" s="18">
        <v>241.13</v>
      </c>
      <c r="Q24" s="50"/>
      <c r="R24" s="79"/>
    </row>
    <row r="25" spans="1:18" ht="19.5" customHeight="1" thickBot="1">
      <c r="A25" s="39" t="s">
        <v>38</v>
      </c>
      <c r="B25" s="34" t="s">
        <v>79</v>
      </c>
      <c r="C25" s="88">
        <v>14351.59</v>
      </c>
      <c r="D25" s="69">
        <v>22163.69</v>
      </c>
      <c r="E25" s="9">
        <v>1876.4</v>
      </c>
      <c r="F25" s="10">
        <v>1754.5</v>
      </c>
      <c r="G25" s="10">
        <v>2181.11</v>
      </c>
      <c r="H25" s="10">
        <v>1620.51</v>
      </c>
      <c r="I25" s="10">
        <v>1725.8</v>
      </c>
      <c r="J25" s="10">
        <v>1940.2</v>
      </c>
      <c r="K25" s="10">
        <v>1572.69</v>
      </c>
      <c r="L25" s="10">
        <v>1819.1</v>
      </c>
      <c r="M25" s="10">
        <v>1711.49</v>
      </c>
      <c r="N25" s="10">
        <v>2183.6</v>
      </c>
      <c r="O25" s="10">
        <v>2258.69</v>
      </c>
      <c r="P25" s="18">
        <v>1823.24</v>
      </c>
      <c r="Q25" s="50">
        <f t="shared" si="2"/>
        <v>22467.33</v>
      </c>
      <c r="R25" s="79">
        <f t="shared" si="3"/>
        <v>58982.61</v>
      </c>
    </row>
    <row r="26" spans="1:18" ht="21.75" customHeight="1" thickBot="1">
      <c r="A26" s="39" t="s">
        <v>48</v>
      </c>
      <c r="B26" s="34" t="s">
        <v>61</v>
      </c>
      <c r="C26" s="88">
        <v>2485.86</v>
      </c>
      <c r="D26" s="69">
        <v>3152.98</v>
      </c>
      <c r="E26" s="9">
        <v>412.35</v>
      </c>
      <c r="F26" s="10">
        <v>126.88</v>
      </c>
      <c r="G26" s="10">
        <v>136.18</v>
      </c>
      <c r="H26" s="10">
        <v>125.91</v>
      </c>
      <c r="I26" s="10">
        <v>122.18</v>
      </c>
      <c r="J26" s="10">
        <v>189.93</v>
      </c>
      <c r="K26" s="10">
        <v>178.45</v>
      </c>
      <c r="L26" s="10">
        <v>549.39</v>
      </c>
      <c r="M26" s="10">
        <v>128.27</v>
      </c>
      <c r="N26" s="10">
        <v>189.65</v>
      </c>
      <c r="O26" s="10">
        <v>128.24</v>
      </c>
      <c r="P26" s="18">
        <v>170.77</v>
      </c>
      <c r="Q26" s="50">
        <f t="shared" si="2"/>
        <v>2458.2000000000003</v>
      </c>
      <c r="R26" s="79">
        <f t="shared" si="3"/>
        <v>8097.040000000002</v>
      </c>
    </row>
    <row r="27" spans="1:18" ht="36" customHeight="1" thickBot="1">
      <c r="A27" s="39" t="s">
        <v>49</v>
      </c>
      <c r="B27" s="34" t="s">
        <v>63</v>
      </c>
      <c r="C27" s="88">
        <v>17484.09</v>
      </c>
      <c r="D27" s="69">
        <v>23062.92</v>
      </c>
      <c r="E27" s="9">
        <f>82.7+576.08+942.96</f>
        <v>1601.7400000000002</v>
      </c>
      <c r="F27" s="10">
        <f>82.35+682.59+578.22</f>
        <v>1343.16</v>
      </c>
      <c r="G27" s="10">
        <f>81.09+758.69+1015.56</f>
        <v>1855.3400000000001</v>
      </c>
      <c r="H27" s="10">
        <f>76.54+695.18+977.21</f>
        <v>1748.9299999999998</v>
      </c>
      <c r="I27" s="10">
        <f>78.62+843.03+2390.63</f>
        <v>3312.28</v>
      </c>
      <c r="J27" s="10">
        <f>1161.19+92.23+690.17</f>
        <v>1943.5900000000001</v>
      </c>
      <c r="K27" s="10">
        <f>100.93+607.49+1084.54</f>
        <v>1792.96</v>
      </c>
      <c r="L27" s="10">
        <f>109.4+560.54+1292.67</f>
        <v>1962.6100000000001</v>
      </c>
      <c r="M27" s="10">
        <f>1110.07+87.99+711.07</f>
        <v>1909.13</v>
      </c>
      <c r="N27" s="10">
        <f>113.01+803.6+1172.27</f>
        <v>2088.88</v>
      </c>
      <c r="O27" s="10">
        <f>103.73+936.42+1850.44</f>
        <v>2890.59</v>
      </c>
      <c r="P27" s="18">
        <f>104.4+921.68+866.9</f>
        <v>1892.98</v>
      </c>
      <c r="Q27" s="50">
        <f t="shared" si="2"/>
        <v>24342.190000000002</v>
      </c>
      <c r="R27" s="79">
        <f t="shared" si="3"/>
        <v>64889.200000000004</v>
      </c>
    </row>
    <row r="28" spans="1:18" ht="15.75" customHeight="1" thickBot="1">
      <c r="A28" s="39" t="s">
        <v>51</v>
      </c>
      <c r="B28" s="34" t="s">
        <v>10</v>
      </c>
      <c r="C28" s="88">
        <v>173936.83</v>
      </c>
      <c r="D28" s="69">
        <v>262146.57</v>
      </c>
      <c r="E28" s="9">
        <f>49452.23-27506.57</f>
        <v>21945.660000000003</v>
      </c>
      <c r="F28" s="10">
        <f>47574.65-27209.37</f>
        <v>20365.280000000002</v>
      </c>
      <c r="G28" s="10">
        <f>57479.42-34894.78</f>
        <v>22584.64</v>
      </c>
      <c r="H28" s="10">
        <f>48265.72-27009.15</f>
        <v>21256.57</v>
      </c>
      <c r="I28" s="10">
        <f>13063.89+2661.16+4710.63+943.26</f>
        <v>21378.94</v>
      </c>
      <c r="J28" s="10">
        <f>58412.69-35497.67</f>
        <v>22915.020000000004</v>
      </c>
      <c r="K28" s="10">
        <f>59073.95-35147.43</f>
        <v>23926.519999999997</v>
      </c>
      <c r="L28" s="10">
        <f>48914.34-27042.67</f>
        <v>21871.67</v>
      </c>
      <c r="M28" s="10">
        <f>54783.27-32195.79</f>
        <v>22587.479999999996</v>
      </c>
      <c r="N28" s="10">
        <f>53311.57-30999.54</f>
        <v>22312.03</v>
      </c>
      <c r="O28" s="10">
        <f>54750.72-33459.09</f>
        <v>21291.630000000005</v>
      </c>
      <c r="P28" s="18">
        <f>52013.33-31061.63</f>
        <v>20951.7</v>
      </c>
      <c r="Q28" s="50">
        <f t="shared" si="2"/>
        <v>263387.13999999996</v>
      </c>
      <c r="R28" s="79">
        <f t="shared" si="3"/>
        <v>699470.5400000002</v>
      </c>
    </row>
    <row r="29" spans="1:18" ht="13.5" customHeight="1" thickBot="1">
      <c r="A29" s="39" t="s">
        <v>53</v>
      </c>
      <c r="B29" s="35" t="s">
        <v>4</v>
      </c>
      <c r="C29" s="89">
        <v>55130.12</v>
      </c>
      <c r="D29" s="70">
        <v>100341.99</v>
      </c>
      <c r="E29" s="11">
        <f>6739.55+1766.57</f>
        <v>8506.12</v>
      </c>
      <c r="F29" s="12">
        <f>6808.28+180.81+1999.92</f>
        <v>8989.01</v>
      </c>
      <c r="G29" s="12">
        <f>7676.48+206.88+2082.81</f>
        <v>9966.17</v>
      </c>
      <c r="H29" s="12">
        <f>6790.07+181.38+1825.55</f>
        <v>8797</v>
      </c>
      <c r="I29" s="12">
        <f>7683.88+217.86+2025.42</f>
        <v>9927.16</v>
      </c>
      <c r="J29" s="12">
        <f>7563.68+217.08+1960.31</f>
        <v>9741.07</v>
      </c>
      <c r="K29" s="12">
        <f>7205.69+254.63+1915.54</f>
        <v>9375.86</v>
      </c>
      <c r="L29" s="12">
        <f>132.08+6827.57+99.92+1803.24</f>
        <v>8862.81</v>
      </c>
      <c r="M29" s="12">
        <f>6949.68+171.04+1831.09</f>
        <v>8951.81</v>
      </c>
      <c r="N29" s="12">
        <f>7029.91+176.26+1778.55</f>
        <v>8984.72</v>
      </c>
      <c r="O29" s="12">
        <f>7695.86+192.04+1950.56</f>
        <v>9838.46</v>
      </c>
      <c r="P29" s="20">
        <f>6654.43+162.6+1668.99</f>
        <v>8486.02</v>
      </c>
      <c r="Q29" s="50">
        <f t="shared" si="2"/>
        <v>110426.21</v>
      </c>
      <c r="R29" s="79">
        <f t="shared" si="3"/>
        <v>265898.32000000007</v>
      </c>
    </row>
    <row r="30" spans="1:18" ht="13.5" customHeight="1" thickBot="1">
      <c r="A30" s="39"/>
      <c r="B30" s="41" t="s">
        <v>55</v>
      </c>
      <c r="C30" s="90">
        <f>C8*5%</f>
        <v>18943.639000000003</v>
      </c>
      <c r="D30" s="75">
        <f>D8*5%</f>
        <v>32090.627000000004</v>
      </c>
      <c r="E30" s="58">
        <f>E8*5%</f>
        <v>2507.4315</v>
      </c>
      <c r="F30" s="58">
        <f aca="true" t="shared" si="4" ref="F30:P30">F8*5%</f>
        <v>2507.4315</v>
      </c>
      <c r="G30" s="58">
        <f t="shared" si="4"/>
        <v>2507.4315</v>
      </c>
      <c r="H30" s="58">
        <f t="shared" si="4"/>
        <v>2506.684</v>
      </c>
      <c r="I30" s="58">
        <f t="shared" si="4"/>
        <v>2506.684</v>
      </c>
      <c r="J30" s="58">
        <f t="shared" si="4"/>
        <v>2505.9365000000003</v>
      </c>
      <c r="K30" s="58">
        <f t="shared" si="4"/>
        <v>2506.2815</v>
      </c>
      <c r="L30" s="58">
        <f t="shared" si="4"/>
        <v>2506.2815</v>
      </c>
      <c r="M30" s="58">
        <f t="shared" si="4"/>
        <v>2506.914</v>
      </c>
      <c r="N30" s="58">
        <f t="shared" si="4"/>
        <v>2506.914</v>
      </c>
      <c r="O30" s="58">
        <f t="shared" si="4"/>
        <v>2506.914</v>
      </c>
      <c r="P30" s="58">
        <f t="shared" si="4"/>
        <v>2506.339</v>
      </c>
      <c r="Q30" s="75">
        <f t="shared" si="2"/>
        <v>30081.243000000006</v>
      </c>
      <c r="R30" s="81"/>
    </row>
    <row r="31" spans="1:18" ht="15" customHeight="1" thickBot="1">
      <c r="A31" s="62" t="s">
        <v>52</v>
      </c>
      <c r="B31" s="54" t="s">
        <v>47</v>
      </c>
      <c r="C31" s="91"/>
      <c r="D31" s="71"/>
      <c r="E31" s="59">
        <f>SUM(E8+E9+E10-E13)-E30</f>
        <v>8908.248499999992</v>
      </c>
      <c r="F31" s="59">
        <f aca="true" t="shared" si="5" ref="F31:P31">SUM(F8+F9+F10-F13)-F30</f>
        <v>10442.478499999988</v>
      </c>
      <c r="G31" s="59">
        <f t="shared" si="5"/>
        <v>688.1284999999975</v>
      </c>
      <c r="H31" s="59">
        <f t="shared" si="5"/>
        <v>9380.806000000004</v>
      </c>
      <c r="I31" s="59">
        <f t="shared" si="5"/>
        <v>5966.455999999999</v>
      </c>
      <c r="J31" s="59">
        <f t="shared" si="5"/>
        <v>1925.2735000000062</v>
      </c>
      <c r="K31" s="59">
        <f t="shared" si="5"/>
        <v>-3344.6914999999963</v>
      </c>
      <c r="L31" s="59">
        <f t="shared" si="5"/>
        <v>9147.408500000001</v>
      </c>
      <c r="M31" s="59">
        <f t="shared" si="5"/>
        <v>3290.4960000000033</v>
      </c>
      <c r="N31" s="59">
        <f t="shared" si="5"/>
        <v>4762.196</v>
      </c>
      <c r="O31" s="59">
        <f t="shared" si="5"/>
        <v>3323.0459999999916</v>
      </c>
      <c r="P31" s="59">
        <f t="shared" si="5"/>
        <v>6049.510999999999</v>
      </c>
      <c r="Q31" s="76">
        <f t="shared" si="2"/>
        <v>60539.356999999996</v>
      </c>
      <c r="R31" s="55"/>
    </row>
    <row r="32" spans="1:18" ht="20.25" customHeight="1" thickBot="1">
      <c r="A32" s="65" t="s">
        <v>39</v>
      </c>
      <c r="B32" s="42" t="s">
        <v>24</v>
      </c>
      <c r="C32" s="90">
        <f>SUM(C8-C13)-C30</f>
        <v>-44121.848999999966</v>
      </c>
      <c r="D32" s="75">
        <f>SUM(D8-D13)-D30</f>
        <v>14329.093000000084</v>
      </c>
      <c r="E32" s="66">
        <f>SUM(E8+E9+E10-E13)-E30</f>
        <v>8908.248499999992</v>
      </c>
      <c r="F32" s="60">
        <f>SUM(F31+E32)</f>
        <v>19350.72699999998</v>
      </c>
      <c r="G32" s="60">
        <f aca="true" t="shared" si="6" ref="G32:P32">SUM(G31+F32)</f>
        <v>20038.85549999998</v>
      </c>
      <c r="H32" s="60">
        <f t="shared" si="6"/>
        <v>29419.661499999984</v>
      </c>
      <c r="I32" s="60">
        <f t="shared" si="6"/>
        <v>35386.117499999986</v>
      </c>
      <c r="J32" s="60">
        <f t="shared" si="6"/>
        <v>37311.39099999999</v>
      </c>
      <c r="K32" s="60">
        <f t="shared" si="6"/>
        <v>33966.699499999995</v>
      </c>
      <c r="L32" s="60">
        <f t="shared" si="6"/>
        <v>43114.10799999999</v>
      </c>
      <c r="M32" s="60">
        <f t="shared" si="6"/>
        <v>46404.604</v>
      </c>
      <c r="N32" s="60">
        <f t="shared" si="6"/>
        <v>51166.8</v>
      </c>
      <c r="O32" s="60">
        <f t="shared" si="6"/>
        <v>54489.846</v>
      </c>
      <c r="P32" s="60">
        <f t="shared" si="6"/>
        <v>60539.356999999996</v>
      </c>
      <c r="Q32" s="61"/>
      <c r="R32" s="56"/>
    </row>
    <row r="33" spans="1:18" ht="20.25" customHeight="1" hidden="1" thickBot="1">
      <c r="A33" s="63" t="s">
        <v>40</v>
      </c>
      <c r="B33" s="36" t="s">
        <v>25</v>
      </c>
      <c r="C33" s="92">
        <v>-44121.84</v>
      </c>
      <c r="D33" s="93">
        <f>SUM(D32+C33)</f>
        <v>-29792.746999999912</v>
      </c>
      <c r="E33" s="93">
        <f>SUM(E32+D33)</f>
        <v>-20884.49849999992</v>
      </c>
      <c r="F33" s="64">
        <f aca="true" t="shared" si="7" ref="F33:O33">SUM(F31+E33)</f>
        <v>-10442.019999999933</v>
      </c>
      <c r="G33" s="64">
        <f t="shared" si="7"/>
        <v>-9753.891499999936</v>
      </c>
      <c r="H33" s="64">
        <f t="shared" si="7"/>
        <v>-373.0854999999319</v>
      </c>
      <c r="I33" s="64">
        <f t="shared" si="7"/>
        <v>5593.370500000067</v>
      </c>
      <c r="J33" s="64">
        <f t="shared" si="7"/>
        <v>7518.644000000073</v>
      </c>
      <c r="K33" s="64">
        <f t="shared" si="7"/>
        <v>4173.952500000077</v>
      </c>
      <c r="L33" s="64">
        <f t="shared" si="7"/>
        <v>13321.361000000077</v>
      </c>
      <c r="M33" s="64">
        <f t="shared" si="7"/>
        <v>16611.85700000008</v>
      </c>
      <c r="N33" s="64">
        <f t="shared" si="7"/>
        <v>21374.05300000008</v>
      </c>
      <c r="O33" s="64">
        <f t="shared" si="7"/>
        <v>24697.09900000007</v>
      </c>
      <c r="P33" s="64">
        <f>SUM(P31+O33)+0.02</f>
        <v>30746.63000000007</v>
      </c>
      <c r="Q33" s="51"/>
      <c r="R33" s="57"/>
    </row>
    <row r="34" spans="1:18" ht="17.25" customHeight="1" hidden="1" thickBot="1">
      <c r="A34" s="39" t="s">
        <v>41</v>
      </c>
      <c r="B34" s="42" t="s">
        <v>8</v>
      </c>
      <c r="C34" s="67"/>
      <c r="D34" s="67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1"/>
      <c r="Q34" s="50"/>
      <c r="R34" s="46"/>
    </row>
    <row r="35" spans="1:18" ht="16.5" customHeight="1" hidden="1" thickBot="1">
      <c r="A35" s="40" t="s">
        <v>42</v>
      </c>
      <c r="B35" s="36" t="s">
        <v>26</v>
      </c>
      <c r="C35" s="67"/>
      <c r="D35" s="67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1"/>
      <c r="Q35" s="51"/>
      <c r="R35" s="47"/>
    </row>
    <row r="36" spans="1:18" ht="11.25" customHeight="1" hidden="1" thickBot="1">
      <c r="A36" s="40" t="s">
        <v>43</v>
      </c>
      <c r="B36" s="37" t="s">
        <v>44</v>
      </c>
      <c r="C36" s="68"/>
      <c r="D36" s="68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52"/>
      <c r="R36" s="48"/>
    </row>
    <row r="37" spans="1:18" ht="15" customHeight="1" hidden="1" thickBot="1">
      <c r="A37" s="43" t="s">
        <v>46</v>
      </c>
      <c r="B37" s="37" t="s">
        <v>27</v>
      </c>
      <c r="C37" s="68"/>
      <c r="D37" s="6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52"/>
      <c r="R37" s="48"/>
    </row>
    <row r="38" spans="2:18" ht="14.25" customHeight="1">
      <c r="B38" t="s">
        <v>62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40" ht="6" customHeight="1" hidden="1"/>
    <row r="41" ht="12.75" hidden="1"/>
    <row r="42" ht="12.75" hidden="1"/>
    <row r="47" ht="12.75" customHeight="1"/>
    <row r="48" ht="12.75" customHeight="1"/>
  </sheetData>
  <sheetProtection/>
  <mergeCells count="5">
    <mergeCell ref="B4:R4"/>
    <mergeCell ref="B5:R5"/>
    <mergeCell ref="B3:R3"/>
    <mergeCell ref="B1:G1"/>
    <mergeCell ref="B2:P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2018-02-07T08:19:35Z</cp:lastPrinted>
  <dcterms:created xsi:type="dcterms:W3CDTF">2011-06-16T11:06:26Z</dcterms:created>
  <dcterms:modified xsi:type="dcterms:W3CDTF">2018-02-12T07:40:43Z</dcterms:modified>
  <cp:category/>
  <cp:version/>
  <cp:contentType/>
  <cp:contentStatus/>
</cp:coreProperties>
</file>