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995" windowHeight="102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<sst xmlns="http://schemas.openxmlformats.org/spreadsheetml/2006/main" count="83" uniqueCount="82">
  <si>
    <t>СПРАВКА</t>
  </si>
  <si>
    <t xml:space="preserve">Начислено  </t>
  </si>
  <si>
    <t>Оплачено</t>
  </si>
  <si>
    <t>Расходы</t>
  </si>
  <si>
    <t>Услуги РИРЦ</t>
  </si>
  <si>
    <t>Вывоз ТБО</t>
  </si>
  <si>
    <t>Тех.обслуж.газового обор.</t>
  </si>
  <si>
    <t>Дератизация, дезинфекция</t>
  </si>
  <si>
    <t>Наименование</t>
  </si>
  <si>
    <t>Задолженность по неплательщикам</t>
  </si>
  <si>
    <t>ООО "Наш дом"</t>
  </si>
  <si>
    <t>Зар. Плата+налоги</t>
  </si>
  <si>
    <t xml:space="preserve">                               о поступлении   и   расходовании   денежных   средств  по  услуге   содержание   и   техническое обслуживание                                                                                                                   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</si>
  <si>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</si>
  <si>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</si>
  <si>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</si>
  <si>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</si>
  <si>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</si>
  <si>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</si>
  <si>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</si>
  <si>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</si>
  <si>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</si>
  <si>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октябоь</t>
  </si>
  <si>
    <t>декабрь</t>
  </si>
  <si>
    <t>ноябрь</t>
  </si>
  <si>
    <t>Фин.результат с начала года</t>
  </si>
  <si>
    <t>Фин.результат с начала деятельности</t>
  </si>
  <si>
    <t>Задолженность на 01.05.2011г</t>
  </si>
  <si>
    <t>Финансовый результат по дому с начала деятельности</t>
  </si>
  <si>
    <t>№</t>
  </si>
  <si>
    <t>1</t>
  </si>
  <si>
    <t>2</t>
  </si>
  <si>
    <t>3</t>
  </si>
  <si>
    <t>4</t>
  </si>
  <si>
    <t>4.1</t>
  </si>
  <si>
    <t>4.2</t>
  </si>
  <si>
    <t>4.3</t>
  </si>
  <si>
    <t>4.5</t>
  </si>
  <si>
    <t>4.7</t>
  </si>
  <si>
    <t>4.8</t>
  </si>
  <si>
    <t>4.9</t>
  </si>
  <si>
    <t>4.11</t>
  </si>
  <si>
    <t>5</t>
  </si>
  <si>
    <t>6</t>
  </si>
  <si>
    <t>7</t>
  </si>
  <si>
    <t>8</t>
  </si>
  <si>
    <t>9</t>
  </si>
  <si>
    <t>за 2009 г</t>
  </si>
  <si>
    <t>за 2010 г</t>
  </si>
  <si>
    <t>10</t>
  </si>
  <si>
    <t>Финансовый результат по дому с начала года</t>
  </si>
  <si>
    <t>Итого за 2011 г</t>
  </si>
  <si>
    <t>Результат за месяц</t>
  </si>
  <si>
    <t>Дом по ул.Ленина д.87 вступил в ООО "Наш дом" с октября 2009 года                         тариф 10,35 руб</t>
  </si>
  <si>
    <t>Итого за 2012 г</t>
  </si>
  <si>
    <t>Благоустройство территории</t>
  </si>
  <si>
    <t>4.12</t>
  </si>
  <si>
    <t>4.13</t>
  </si>
  <si>
    <t xml:space="preserve">Материалы </t>
  </si>
  <si>
    <t>4.15</t>
  </si>
  <si>
    <t>4.16</t>
  </si>
  <si>
    <t>%  оплаты</t>
  </si>
  <si>
    <t>Итого за 2013 г</t>
  </si>
  <si>
    <t>Итого за 2014 г</t>
  </si>
  <si>
    <t>рентабельность 5%</t>
  </si>
  <si>
    <t>по жилому дому г. Унеча ул. Ленина д.87</t>
  </si>
  <si>
    <t>Итого за 2015 г</t>
  </si>
  <si>
    <t>Услуги сторонних организ.</t>
  </si>
  <si>
    <t xml:space="preserve">Расходы на управление,аренда, связь </t>
  </si>
  <si>
    <t>4.6</t>
  </si>
  <si>
    <t>Проверка вент.каналов</t>
  </si>
  <si>
    <t>Исполнитель  вед. экономист /Викторова Л.С./</t>
  </si>
  <si>
    <t xml:space="preserve">Услуги агентские,охрана труда,отопление, хол.вода, эл.энегрия   </t>
  </si>
  <si>
    <t>Итого за 2016 г</t>
  </si>
  <si>
    <t>Итого за 2017 г</t>
  </si>
  <si>
    <t>Всего за 2009-2017</t>
  </si>
  <si>
    <t>Начислено   СОИД</t>
  </si>
  <si>
    <t>Электроэнергия СОИД</t>
  </si>
  <si>
    <t>Холодная вода СОИД</t>
  </si>
  <si>
    <t>Горячая вода СОИД</t>
  </si>
  <si>
    <t>Канализация СОИД</t>
  </si>
  <si>
    <t>Транспортные(ГСМ,зап.части,амортизация,страхование 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</si>
</sst>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8">
    <font>
      <sz val="10"/>
      <name val="Arial Cyr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9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sz val="10"/>
      <color indexed="10"/>
      <name val="Arial Cyr"/>
      <family val="0"/>
    </font>
    <font>
      <i/>
      <sz val="8"/>
      <name val="Arial Cyr"/>
      <family val="0"/>
    </font>
    <font>
      <sz val="9"/>
      <color indexed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10" fillId="15" borderId="7" applyNumberFormat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22" fillId="0" borderId="0" xfId="0" applyFont="1" applyBorder="1" applyAlignment="1">
      <alignment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19" xfId="0" applyFont="1" applyBorder="1" applyAlignment="1">
      <alignment/>
    </xf>
    <xf numFmtId="0" fontId="19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/>
    </xf>
    <xf numFmtId="0" fontId="21" fillId="0" borderId="22" xfId="0" applyFont="1" applyBorder="1" applyAlignment="1">
      <alignment/>
    </xf>
    <xf numFmtId="0" fontId="21" fillId="0" borderId="23" xfId="0" applyFont="1" applyBorder="1" applyAlignment="1">
      <alignment/>
    </xf>
    <xf numFmtId="0" fontId="21" fillId="0" borderId="24" xfId="0" applyFont="1" applyBorder="1" applyAlignment="1">
      <alignment/>
    </xf>
    <xf numFmtId="0" fontId="21" fillId="0" borderId="25" xfId="0" applyFont="1" applyBorder="1" applyAlignment="1">
      <alignment/>
    </xf>
    <xf numFmtId="1" fontId="21" fillId="0" borderId="14" xfId="0" applyNumberFormat="1" applyFont="1" applyBorder="1" applyAlignment="1">
      <alignment horizontal="center"/>
    </xf>
    <xf numFmtId="0" fontId="21" fillId="2" borderId="0" xfId="0" applyFont="1" applyFill="1" applyBorder="1" applyAlignment="1">
      <alignment wrapText="1"/>
    </xf>
    <xf numFmtId="0" fontId="20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20" fillId="2" borderId="18" xfId="0" applyFont="1" applyFill="1" applyBorder="1" applyAlignment="1">
      <alignment/>
    </xf>
    <xf numFmtId="0" fontId="20" fillId="2" borderId="26" xfId="0" applyFont="1" applyFill="1" applyBorder="1" applyAlignment="1">
      <alignment/>
    </xf>
    <xf numFmtId="49" fontId="0" fillId="0" borderId="0" xfId="0" applyNumberFormat="1" applyAlignment="1">
      <alignment horizontal="center"/>
    </xf>
    <xf numFmtId="0" fontId="23" fillId="0" borderId="27" xfId="0" applyFont="1" applyBorder="1" applyAlignment="1">
      <alignment horizontal="left" vertical="center" wrapText="1"/>
    </xf>
    <xf numFmtId="0" fontId="24" fillId="0" borderId="28" xfId="0" applyFont="1" applyBorder="1" applyAlignment="1">
      <alignment wrapText="1"/>
    </xf>
    <xf numFmtId="0" fontId="24" fillId="0" borderId="29" xfId="0" applyFont="1" applyBorder="1" applyAlignment="1">
      <alignment wrapText="1"/>
    </xf>
    <xf numFmtId="0" fontId="21" fillId="0" borderId="29" xfId="0" applyFont="1" applyBorder="1" applyAlignment="1">
      <alignment horizontal="left" wrapText="1"/>
    </xf>
    <xf numFmtId="0" fontId="24" fillId="0" borderId="27" xfId="0" applyFont="1" applyBorder="1" applyAlignment="1">
      <alignment wrapText="1"/>
    </xf>
    <xf numFmtId="49" fontId="21" fillId="0" borderId="28" xfId="0" applyNumberFormat="1" applyFont="1" applyBorder="1" applyAlignment="1">
      <alignment wrapText="1"/>
    </xf>
    <xf numFmtId="0" fontId="21" fillId="0" borderId="29" xfId="0" applyFont="1" applyBorder="1" applyAlignment="1">
      <alignment wrapText="1"/>
    </xf>
    <xf numFmtId="0" fontId="21" fillId="0" borderId="30" xfId="0" applyFont="1" applyBorder="1" applyAlignment="1">
      <alignment wrapText="1"/>
    </xf>
    <xf numFmtId="0" fontId="21" fillId="0" borderId="31" xfId="0" applyFont="1" applyBorder="1" applyAlignment="1">
      <alignment wrapText="1"/>
    </xf>
    <xf numFmtId="0" fontId="21" fillId="0" borderId="32" xfId="0" applyFont="1" applyBorder="1" applyAlignment="1">
      <alignment wrapText="1"/>
    </xf>
    <xf numFmtId="0" fontId="21" fillId="2" borderId="32" xfId="0" applyFont="1" applyFill="1" applyBorder="1" applyAlignment="1">
      <alignment wrapText="1"/>
    </xf>
    <xf numFmtId="49" fontId="0" fillId="0" borderId="33" xfId="0" applyNumberFormat="1" applyBorder="1" applyAlignment="1">
      <alignment horizontal="center"/>
    </xf>
    <xf numFmtId="49" fontId="0" fillId="0" borderId="34" xfId="0" applyNumberFormat="1" applyBorder="1" applyAlignment="1">
      <alignment horizontal="center"/>
    </xf>
    <xf numFmtId="49" fontId="0" fillId="0" borderId="35" xfId="0" applyNumberFormat="1" applyBorder="1" applyAlignment="1">
      <alignment horizontal="center"/>
    </xf>
    <xf numFmtId="0" fontId="23" fillId="0" borderId="23" xfId="0" applyFont="1" applyBorder="1" applyAlignment="1">
      <alignment horizontal="left" vertical="center" wrapText="1"/>
    </xf>
    <xf numFmtId="0" fontId="21" fillId="0" borderId="36" xfId="0" applyFont="1" applyBorder="1" applyAlignment="1">
      <alignment wrapText="1"/>
    </xf>
    <xf numFmtId="0" fontId="21" fillId="0" borderId="23" xfId="0" applyFont="1" applyBorder="1" applyAlignment="1">
      <alignment wrapText="1"/>
    </xf>
    <xf numFmtId="0" fontId="21" fillId="0" borderId="26" xfId="0" applyFont="1" applyBorder="1" applyAlignment="1">
      <alignment wrapText="1"/>
    </xf>
    <xf numFmtId="0" fontId="21" fillId="2" borderId="26" xfId="0" applyFont="1" applyFill="1" applyBorder="1" applyAlignment="1">
      <alignment wrapText="1"/>
    </xf>
    <xf numFmtId="0" fontId="23" fillId="0" borderId="37" xfId="0" applyFont="1" applyBorder="1" applyAlignment="1">
      <alignment horizontal="left" vertical="center" wrapText="1"/>
    </xf>
    <xf numFmtId="0" fontId="21" fillId="0" borderId="38" xfId="0" applyFont="1" applyBorder="1" applyAlignment="1">
      <alignment wrapText="1"/>
    </xf>
    <xf numFmtId="0" fontId="21" fillId="0" borderId="37" xfId="0" applyFont="1" applyBorder="1" applyAlignment="1">
      <alignment wrapText="1"/>
    </xf>
    <xf numFmtId="0" fontId="21" fillId="0" borderId="39" xfId="0" applyFont="1" applyBorder="1" applyAlignment="1">
      <alignment wrapText="1"/>
    </xf>
    <xf numFmtId="0" fontId="21" fillId="2" borderId="39" xfId="0" applyFont="1" applyFill="1" applyBorder="1" applyAlignment="1">
      <alignment wrapText="1"/>
    </xf>
    <xf numFmtId="2" fontId="21" fillId="0" borderId="40" xfId="0" applyNumberFormat="1" applyFont="1" applyBorder="1" applyAlignment="1">
      <alignment horizontal="right" wrapText="1"/>
    </xf>
    <xf numFmtId="2" fontId="21" fillId="0" borderId="41" xfId="0" applyNumberFormat="1" applyFont="1" applyBorder="1" applyAlignment="1">
      <alignment horizontal="right" wrapText="1"/>
    </xf>
    <xf numFmtId="2" fontId="21" fillId="0" borderId="42" xfId="0" applyNumberFormat="1" applyFont="1" applyBorder="1" applyAlignment="1">
      <alignment horizontal="right" wrapText="1"/>
    </xf>
    <xf numFmtId="2" fontId="21" fillId="0" borderId="34" xfId="0" applyNumberFormat="1" applyFont="1" applyBorder="1" applyAlignment="1">
      <alignment horizontal="right" wrapText="1"/>
    </xf>
    <xf numFmtId="2" fontId="21" fillId="0" borderId="43" xfId="0" applyNumberFormat="1" applyFont="1" applyBorder="1" applyAlignment="1">
      <alignment horizontal="right" wrapText="1"/>
    </xf>
    <xf numFmtId="2" fontId="21" fillId="0" borderId="35" xfId="0" applyNumberFormat="1" applyFont="1" applyBorder="1" applyAlignment="1">
      <alignment horizontal="right" wrapText="1"/>
    </xf>
    <xf numFmtId="1" fontId="21" fillId="0" borderId="42" xfId="0" applyNumberFormat="1" applyFont="1" applyBorder="1" applyAlignment="1">
      <alignment horizontal="center"/>
    </xf>
    <xf numFmtId="0" fontId="23" fillId="0" borderId="27" xfId="0" applyFont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25" fillId="0" borderId="27" xfId="0" applyFont="1" applyBorder="1" applyAlignment="1">
      <alignment/>
    </xf>
    <xf numFmtId="0" fontId="0" fillId="0" borderId="44" xfId="0" applyBorder="1" applyAlignment="1">
      <alignment/>
    </xf>
    <xf numFmtId="0" fontId="0" fillId="0" borderId="27" xfId="0" applyBorder="1" applyAlignment="1">
      <alignment/>
    </xf>
    <xf numFmtId="0" fontId="0" fillId="2" borderId="27" xfId="0" applyFill="1" applyBorder="1" applyAlignment="1">
      <alignment/>
    </xf>
    <xf numFmtId="0" fontId="19" fillId="0" borderId="37" xfId="0" applyFont="1" applyBorder="1" applyAlignment="1">
      <alignment horizontal="center" vertical="center" wrapText="1"/>
    </xf>
    <xf numFmtId="0" fontId="21" fillId="0" borderId="41" xfId="0" applyFont="1" applyBorder="1" applyAlignment="1">
      <alignment/>
    </xf>
    <xf numFmtId="1" fontId="21" fillId="0" borderId="34" xfId="0" applyNumberFormat="1" applyFont="1" applyBorder="1" applyAlignment="1">
      <alignment horizontal="center"/>
    </xf>
    <xf numFmtId="0" fontId="21" fillId="0" borderId="38" xfId="0" applyFont="1" applyBorder="1" applyAlignment="1">
      <alignment/>
    </xf>
    <xf numFmtId="0" fontId="21" fillId="0" borderId="37" xfId="0" applyFont="1" applyBorder="1" applyAlignment="1">
      <alignment/>
    </xf>
    <xf numFmtId="0" fontId="21" fillId="0" borderId="39" xfId="0" applyFont="1" applyBorder="1" applyAlignment="1">
      <alignment/>
    </xf>
    <xf numFmtId="0" fontId="20" fillId="2" borderId="39" xfId="0" applyFont="1" applyFill="1" applyBorder="1" applyAlignment="1">
      <alignment/>
    </xf>
    <xf numFmtId="0" fontId="21" fillId="0" borderId="33" xfId="0" applyFont="1" applyBorder="1" applyAlignment="1">
      <alignment/>
    </xf>
    <xf numFmtId="1" fontId="20" fillId="0" borderId="45" xfId="0" applyNumberFormat="1" applyFont="1" applyBorder="1" applyAlignment="1">
      <alignment horizontal="center"/>
    </xf>
    <xf numFmtId="0" fontId="21" fillId="0" borderId="44" xfId="0" applyFont="1" applyBorder="1" applyAlignment="1">
      <alignment wrapText="1"/>
    </xf>
    <xf numFmtId="2" fontId="21" fillId="0" borderId="0" xfId="0" applyNumberFormat="1" applyFont="1" applyBorder="1" applyAlignment="1">
      <alignment horizontal="right" wrapText="1"/>
    </xf>
    <xf numFmtId="2" fontId="21" fillId="0" borderId="46" xfId="0" applyNumberFormat="1" applyFont="1" applyBorder="1" applyAlignment="1">
      <alignment horizontal="right" wrapText="1"/>
    </xf>
    <xf numFmtId="2" fontId="25" fillId="0" borderId="31" xfId="0" applyNumberFormat="1" applyFont="1" applyBorder="1" applyAlignment="1">
      <alignment/>
    </xf>
    <xf numFmtId="0" fontId="26" fillId="0" borderId="40" xfId="0" applyFont="1" applyBorder="1" applyAlignment="1">
      <alignment wrapText="1"/>
    </xf>
    <xf numFmtId="0" fontId="26" fillId="0" borderId="33" xfId="0" applyFont="1" applyBorder="1" applyAlignment="1">
      <alignment wrapText="1"/>
    </xf>
    <xf numFmtId="0" fontId="26" fillId="0" borderId="42" xfId="0" applyFont="1" applyBorder="1" applyAlignment="1">
      <alignment wrapText="1"/>
    </xf>
    <xf numFmtId="0" fontId="26" fillId="0" borderId="34" xfId="0" applyFont="1" applyBorder="1" applyAlignment="1">
      <alignment wrapText="1"/>
    </xf>
    <xf numFmtId="0" fontId="26" fillId="0" borderId="47" xfId="0" applyFont="1" applyBorder="1" applyAlignment="1">
      <alignment wrapText="1"/>
    </xf>
    <xf numFmtId="0" fontId="26" fillId="0" borderId="48" xfId="0" applyFont="1" applyBorder="1" applyAlignment="1">
      <alignment wrapText="1"/>
    </xf>
    <xf numFmtId="2" fontId="21" fillId="0" borderId="47" xfId="0" applyNumberFormat="1" applyFont="1" applyBorder="1" applyAlignment="1">
      <alignment horizontal="right" wrapText="1"/>
    </xf>
    <xf numFmtId="2" fontId="21" fillId="0" borderId="48" xfId="0" applyNumberFormat="1" applyFont="1" applyBorder="1" applyAlignment="1">
      <alignment horizontal="right" wrapText="1"/>
    </xf>
    <xf numFmtId="2" fontId="21" fillId="0" borderId="49" xfId="0" applyNumberFormat="1" applyFont="1" applyBorder="1" applyAlignment="1">
      <alignment horizontal="right" wrapText="1"/>
    </xf>
    <xf numFmtId="2" fontId="21" fillId="0" borderId="50" xfId="0" applyNumberFormat="1" applyFont="1" applyBorder="1" applyAlignment="1">
      <alignment horizontal="right" wrapText="1"/>
    </xf>
    <xf numFmtId="0" fontId="21" fillId="0" borderId="36" xfId="0" applyFont="1" applyBorder="1" applyAlignment="1">
      <alignment/>
    </xf>
    <xf numFmtId="2" fontId="21" fillId="0" borderId="23" xfId="0" applyNumberFormat="1" applyFont="1" applyBorder="1" applyAlignment="1">
      <alignment horizontal="right" wrapText="1"/>
    </xf>
    <xf numFmtId="2" fontId="21" fillId="0" borderId="37" xfId="0" applyNumberFormat="1" applyFont="1" applyBorder="1" applyAlignment="1">
      <alignment horizontal="right" wrapText="1"/>
    </xf>
    <xf numFmtId="2" fontId="21" fillId="0" borderId="51" xfId="0" applyNumberFormat="1" applyFont="1" applyBorder="1" applyAlignment="1">
      <alignment horizontal="right" wrapText="1"/>
    </xf>
    <xf numFmtId="2" fontId="21" fillId="0" borderId="52" xfId="0" applyNumberFormat="1" applyFont="1" applyBorder="1" applyAlignment="1">
      <alignment/>
    </xf>
    <xf numFmtId="2" fontId="21" fillId="0" borderId="37" xfId="0" applyNumberFormat="1" applyFont="1" applyBorder="1" applyAlignment="1">
      <alignment/>
    </xf>
    <xf numFmtId="2" fontId="21" fillId="0" borderId="53" xfId="0" applyNumberFormat="1" applyFont="1" applyBorder="1" applyAlignment="1">
      <alignment/>
    </xf>
    <xf numFmtId="2" fontId="21" fillId="0" borderId="54" xfId="0" applyNumberFormat="1" applyFont="1" applyBorder="1" applyAlignment="1">
      <alignment/>
    </xf>
    <xf numFmtId="2" fontId="21" fillId="0" borderId="10" xfId="0" applyNumberFormat="1" applyFont="1" applyBorder="1" applyAlignment="1">
      <alignment/>
    </xf>
    <xf numFmtId="0" fontId="27" fillId="0" borderId="55" xfId="0" applyFont="1" applyBorder="1" applyAlignment="1">
      <alignment/>
    </xf>
    <xf numFmtId="0" fontId="27" fillId="0" borderId="28" xfId="0" applyFont="1" applyBorder="1" applyAlignment="1">
      <alignment/>
    </xf>
    <xf numFmtId="1" fontId="27" fillId="0" borderId="30" xfId="0" applyNumberFormat="1" applyFont="1" applyBorder="1" applyAlignment="1">
      <alignment horizontal="center"/>
    </xf>
    <xf numFmtId="2" fontId="27" fillId="0" borderId="27" xfId="0" applyNumberFormat="1" applyFont="1" applyBorder="1" applyAlignment="1">
      <alignment/>
    </xf>
    <xf numFmtId="2" fontId="27" fillId="0" borderId="31" xfId="0" applyNumberFormat="1" applyFont="1" applyBorder="1" applyAlignment="1">
      <alignment/>
    </xf>
    <xf numFmtId="0" fontId="19" fillId="0" borderId="51" xfId="0" applyFont="1" applyBorder="1" applyAlignment="1">
      <alignment horizontal="center" vertical="center" wrapText="1"/>
    </xf>
    <xf numFmtId="1" fontId="21" fillId="0" borderId="48" xfId="0" applyNumberFormat="1" applyFont="1" applyBorder="1" applyAlignment="1">
      <alignment horizontal="center"/>
    </xf>
    <xf numFmtId="0" fontId="21" fillId="0" borderId="51" xfId="0" applyFont="1" applyBorder="1" applyAlignment="1">
      <alignment/>
    </xf>
    <xf numFmtId="2" fontId="21" fillId="0" borderId="36" xfId="0" applyNumberFormat="1" applyFont="1" applyBorder="1" applyAlignment="1">
      <alignment/>
    </xf>
    <xf numFmtId="2" fontId="21" fillId="0" borderId="23" xfId="0" applyNumberFormat="1" applyFont="1" applyBorder="1" applyAlignment="1">
      <alignment/>
    </xf>
    <xf numFmtId="2" fontId="21" fillId="0" borderId="38" xfId="0" applyNumberFormat="1" applyFont="1" applyBorder="1" applyAlignment="1">
      <alignment/>
    </xf>
    <xf numFmtId="2" fontId="21" fillId="0" borderId="51" xfId="0" applyNumberFormat="1" applyFont="1" applyBorder="1" applyAlignment="1">
      <alignment/>
    </xf>
    <xf numFmtId="2" fontId="21" fillId="0" borderId="38" xfId="0" applyNumberFormat="1" applyFont="1" applyBorder="1" applyAlignment="1">
      <alignment horizontal="right" wrapText="1"/>
    </xf>
    <xf numFmtId="0" fontId="26" fillId="0" borderId="41" xfId="0" applyFont="1" applyBorder="1" applyAlignment="1">
      <alignment wrapText="1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2"/>
  <sheetViews>
    <sheetView tabSelected="1" zoomScalePageLayoutView="0" workbookViewId="0" topLeftCell="A13">
      <selection activeCell="N50" sqref="N50"/>
    </sheetView>
  </sheetViews>
  <sheetFormatPr defaultColWidth="9.00390625" defaultRowHeight="12.75"/>
  <cols>
    <col min="1" max="1" width="3.625" style="28" customWidth="1"/>
    <col min="2" max="2" width="22.375" style="0" customWidth="1"/>
    <col min="3" max="3" width="7.25390625" style="0" hidden="1" customWidth="1"/>
    <col min="4" max="4" width="7.125" style="0" hidden="1" customWidth="1"/>
    <col min="5" max="5" width="8.25390625" style="0" hidden="1" customWidth="1"/>
    <col min="6" max="6" width="10.25390625" style="0" hidden="1" customWidth="1"/>
    <col min="7" max="7" width="9.875" style="0" hidden="1" customWidth="1"/>
    <col min="8" max="10" width="8.875" style="0" hidden="1" customWidth="1"/>
    <col min="11" max="11" width="8.375" style="0" customWidth="1"/>
    <col min="12" max="12" width="8.75390625" style="0" customWidth="1"/>
    <col min="13" max="13" width="8.25390625" style="0" customWidth="1"/>
    <col min="14" max="14" width="8.375" style="0" customWidth="1"/>
    <col min="15" max="15" width="8.625" style="0" customWidth="1"/>
    <col min="16" max="16" width="8.375" style="0" customWidth="1"/>
    <col min="17" max="17" width="8.125" style="0" customWidth="1"/>
    <col min="18" max="19" width="8.625" style="0" customWidth="1"/>
    <col min="20" max="21" width="8.25390625" style="0" customWidth="1"/>
    <col min="22" max="22" width="8.00390625" style="0" customWidth="1"/>
    <col min="23" max="23" width="11.25390625" style="0" customWidth="1"/>
    <col min="24" max="24" width="10.125" style="0" hidden="1" customWidth="1"/>
  </cols>
  <sheetData>
    <row r="1" spans="2:29" ht="12.75" customHeight="1">
      <c r="B1" s="114" t="s">
        <v>10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 spans="2:29" ht="12.75" customHeight="1">
      <c r="B2" s="114" t="s">
        <v>53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4"/>
      <c r="V2" s="4"/>
      <c r="W2" s="4"/>
      <c r="X2" s="4"/>
      <c r="Y2" s="4"/>
      <c r="Z2" s="4"/>
      <c r="AA2" s="4"/>
      <c r="AB2" s="4"/>
      <c r="AC2" s="4"/>
    </row>
    <row r="3" spans="2:29" ht="12.75" customHeight="1">
      <c r="B3" s="113" t="s">
        <v>0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3"/>
      <c r="Z3" s="3"/>
      <c r="AA3" s="3"/>
      <c r="AB3" s="3"/>
      <c r="AC3" s="3"/>
    </row>
    <row r="4" spans="2:29" ht="15" customHeight="1">
      <c r="B4" s="112" t="s">
        <v>12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2"/>
      <c r="Z4" s="2"/>
      <c r="AA4" s="2"/>
      <c r="AB4" s="2"/>
      <c r="AC4" s="2"/>
    </row>
    <row r="5" spans="2:29" ht="16.5" customHeight="1" thickBot="1">
      <c r="B5" s="112" t="s">
        <v>65</v>
      </c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2"/>
      <c r="Z5" s="2"/>
      <c r="AA5" s="2"/>
      <c r="AB5" s="2"/>
      <c r="AC5" s="2"/>
    </row>
    <row r="6" spans="2:29" ht="16.5" customHeight="1" hidden="1" thickBo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2"/>
      <c r="Z6" s="2"/>
      <c r="AA6" s="2"/>
      <c r="AB6" s="2"/>
      <c r="AC6" s="2"/>
    </row>
    <row r="7" spans="1:29" ht="28.5" customHeight="1" thickBot="1">
      <c r="A7" s="40" t="s">
        <v>29</v>
      </c>
      <c r="B7" s="29" t="s">
        <v>8</v>
      </c>
      <c r="C7" s="43" t="s">
        <v>47</v>
      </c>
      <c r="D7" s="48" t="s">
        <v>48</v>
      </c>
      <c r="E7" s="66" t="s">
        <v>51</v>
      </c>
      <c r="F7" s="66" t="s">
        <v>54</v>
      </c>
      <c r="G7" s="66" t="s">
        <v>62</v>
      </c>
      <c r="H7" s="103" t="s">
        <v>63</v>
      </c>
      <c r="I7" s="66" t="s">
        <v>66</v>
      </c>
      <c r="J7" s="66" t="s">
        <v>73</v>
      </c>
      <c r="K7" s="6" t="s">
        <v>13</v>
      </c>
      <c r="L7" s="5" t="s">
        <v>14</v>
      </c>
      <c r="M7" s="5" t="s">
        <v>15</v>
      </c>
      <c r="N7" s="5" t="s">
        <v>16</v>
      </c>
      <c r="O7" s="5" t="s">
        <v>17</v>
      </c>
      <c r="P7" s="5" t="s">
        <v>18</v>
      </c>
      <c r="Q7" s="5" t="s">
        <v>19</v>
      </c>
      <c r="R7" s="5" t="s">
        <v>20</v>
      </c>
      <c r="S7" s="5" t="s">
        <v>21</v>
      </c>
      <c r="T7" s="5" t="s">
        <v>22</v>
      </c>
      <c r="U7" s="5" t="s">
        <v>24</v>
      </c>
      <c r="V7" s="16" t="s">
        <v>23</v>
      </c>
      <c r="W7" s="66" t="s">
        <v>74</v>
      </c>
      <c r="X7" s="60" t="s">
        <v>75</v>
      </c>
      <c r="Y7" s="1"/>
      <c r="Z7" s="1"/>
      <c r="AA7" s="1"/>
      <c r="AB7" s="1"/>
      <c r="AC7" s="1"/>
    </row>
    <row r="8" spans="1:24" ht="13.5" thickBot="1">
      <c r="A8" s="41" t="s">
        <v>30</v>
      </c>
      <c r="B8" s="30" t="s">
        <v>1</v>
      </c>
      <c r="C8" s="79">
        <v>81050.16</v>
      </c>
      <c r="D8" s="80">
        <v>324283.44</v>
      </c>
      <c r="E8" s="83">
        <v>358979.59</v>
      </c>
      <c r="F8" s="80">
        <v>365277.3</v>
      </c>
      <c r="G8" s="80">
        <v>364592.94</v>
      </c>
      <c r="H8" s="83">
        <v>364413.75</v>
      </c>
      <c r="I8" s="80">
        <v>370920.34</v>
      </c>
      <c r="J8" s="80">
        <v>365068.89</v>
      </c>
      <c r="K8" s="7">
        <v>30405.33</v>
      </c>
      <c r="L8" s="8">
        <v>30405.33</v>
      </c>
      <c r="M8" s="8">
        <v>30405.33</v>
      </c>
      <c r="N8" s="8">
        <v>30415.68</v>
      </c>
      <c r="O8" s="8">
        <v>30422.92</v>
      </c>
      <c r="P8" s="8">
        <v>30422.92</v>
      </c>
      <c r="Q8" s="8">
        <v>30422.92</v>
      </c>
      <c r="R8" s="8">
        <v>30422.92</v>
      </c>
      <c r="S8" s="8">
        <v>30422.92</v>
      </c>
      <c r="T8" s="8">
        <v>30422.92</v>
      </c>
      <c r="U8" s="8">
        <v>30422.92</v>
      </c>
      <c r="V8" s="17">
        <v>30422.92</v>
      </c>
      <c r="W8" s="73">
        <f>SUM(K8:V8)</f>
        <v>365015.0299999999</v>
      </c>
      <c r="X8" s="98">
        <f>SUM(C8:V8)</f>
        <v>2959601.44</v>
      </c>
    </row>
    <row r="9" spans="1:24" ht="12.75">
      <c r="A9" s="41"/>
      <c r="B9" s="30" t="s">
        <v>76</v>
      </c>
      <c r="C9" s="79"/>
      <c r="D9" s="111"/>
      <c r="E9" s="83"/>
      <c r="F9" s="111"/>
      <c r="G9" s="111"/>
      <c r="H9" s="83"/>
      <c r="I9" s="111"/>
      <c r="J9" s="111"/>
      <c r="K9" s="7">
        <f>1705.6+75.17+500.62</f>
        <v>2281.39</v>
      </c>
      <c r="L9" s="8">
        <f>1705.6+75.17+500.62</f>
        <v>2281.39</v>
      </c>
      <c r="M9" s="8">
        <f>1705.6+75.17+504.57</f>
        <v>2285.34</v>
      </c>
      <c r="N9" s="8">
        <f>1705.6+75.15+504.64</f>
        <v>2285.39</v>
      </c>
      <c r="O9" s="8">
        <f>1705.63+75.14+504.64</f>
        <v>2285.4100000000003</v>
      </c>
      <c r="P9" s="8">
        <f>2405.41+79.81+114.46+346.91</f>
        <v>2946.5899999999997</v>
      </c>
      <c r="Q9" s="8">
        <f>547.58+80.63+117.25+358.87</f>
        <v>1104.33</v>
      </c>
      <c r="R9" s="8">
        <f>1476.42+80.63+117.25+358.87</f>
        <v>2033.17</v>
      </c>
      <c r="S9" s="8">
        <f>1476.42+80.63+117.25+358.87</f>
        <v>2033.17</v>
      </c>
      <c r="T9" s="8">
        <f>1476.42+80.63+117.25+358.87</f>
        <v>2033.17</v>
      </c>
      <c r="U9" s="8">
        <f>1476.42+80.63+117.25+358.87</f>
        <v>2033.17</v>
      </c>
      <c r="V9" s="17">
        <f>1476.42+80.63+117.25+358.87</f>
        <v>2033.17</v>
      </c>
      <c r="W9" s="73">
        <f>SUM(K9:V9)</f>
        <v>25635.689999999995</v>
      </c>
      <c r="X9" s="98">
        <f>SUM(C9:V9)</f>
        <v>25635.689999999995</v>
      </c>
    </row>
    <row r="10" spans="1:24" ht="12" customHeight="1">
      <c r="A10" s="41" t="s">
        <v>31</v>
      </c>
      <c r="B10" s="31" t="s">
        <v>2</v>
      </c>
      <c r="C10" s="81">
        <v>41719.17</v>
      </c>
      <c r="D10" s="82">
        <v>297034.46</v>
      </c>
      <c r="E10" s="84">
        <v>353564.19</v>
      </c>
      <c r="F10" s="82">
        <v>368288.15</v>
      </c>
      <c r="G10" s="82">
        <v>352174.37</v>
      </c>
      <c r="H10" s="84">
        <v>378236.47</v>
      </c>
      <c r="I10" s="82">
        <v>374372.84</v>
      </c>
      <c r="J10" s="82">
        <v>364351.13</v>
      </c>
      <c r="K10" s="9">
        <v>27966.86</v>
      </c>
      <c r="L10" s="10">
        <v>31522.59</v>
      </c>
      <c r="M10" s="10">
        <v>31786.05</v>
      </c>
      <c r="N10" s="10">
        <v>31484.37</v>
      </c>
      <c r="O10" s="10">
        <v>32189.81</v>
      </c>
      <c r="P10" s="10">
        <v>32153.62</v>
      </c>
      <c r="Q10" s="10">
        <v>31737.03</v>
      </c>
      <c r="R10" s="10">
        <v>30206.73</v>
      </c>
      <c r="S10" s="10">
        <v>30822.38</v>
      </c>
      <c r="T10" s="10">
        <v>33875.74</v>
      </c>
      <c r="U10" s="10">
        <v>32722.3</v>
      </c>
      <c r="V10" s="18">
        <v>30747.29</v>
      </c>
      <c r="W10" s="67">
        <f>SUM(K10:V10)</f>
        <v>377214.76999999996</v>
      </c>
      <c r="X10" s="99">
        <f>SUM(C10:V10)</f>
        <v>2906955.55</v>
      </c>
    </row>
    <row r="11" spans="1:24" ht="13.5" customHeight="1" thickBot="1">
      <c r="A11" s="41" t="s">
        <v>32</v>
      </c>
      <c r="B11" s="32" t="s">
        <v>61</v>
      </c>
      <c r="C11" s="59">
        <f aca="true" t="shared" si="0" ref="C11:K11">SUM(C10/C8*100)</f>
        <v>51.47327284733305</v>
      </c>
      <c r="D11" s="68">
        <f t="shared" si="0"/>
        <v>91.59717190615716</v>
      </c>
      <c r="E11" s="59">
        <f t="shared" si="0"/>
        <v>98.49144626857476</v>
      </c>
      <c r="F11" s="68">
        <f t="shared" si="0"/>
        <v>100.82426419599577</v>
      </c>
      <c r="G11" s="68">
        <f t="shared" si="0"/>
        <v>96.59385340813238</v>
      </c>
      <c r="H11" s="104">
        <f t="shared" si="0"/>
        <v>103.79313898007416</v>
      </c>
      <c r="I11" s="68">
        <f>SUM(I10/I8*100)</f>
        <v>100.93079284894432</v>
      </c>
      <c r="J11" s="68">
        <f>SUM(J10/J8*100)</f>
        <v>99.80339053267453</v>
      </c>
      <c r="K11" s="22">
        <f t="shared" si="0"/>
        <v>91.9801232218167</v>
      </c>
      <c r="L11" s="22">
        <f aca="true" t="shared" si="1" ref="L11:V11">SUM(L10/L8*100)</f>
        <v>103.67455311289172</v>
      </c>
      <c r="M11" s="22">
        <f t="shared" si="1"/>
        <v>104.54104592846056</v>
      </c>
      <c r="N11" s="22">
        <f t="shared" si="1"/>
        <v>103.51361534576901</v>
      </c>
      <c r="O11" s="22">
        <f t="shared" si="1"/>
        <v>105.80775941296892</v>
      </c>
      <c r="P11" s="22">
        <f t="shared" si="1"/>
        <v>105.68880304717626</v>
      </c>
      <c r="Q11" s="22">
        <f t="shared" si="1"/>
        <v>104.31947360739863</v>
      </c>
      <c r="R11" s="22">
        <f t="shared" si="1"/>
        <v>99.28938445093371</v>
      </c>
      <c r="S11" s="22">
        <f t="shared" si="1"/>
        <v>101.31302320750277</v>
      </c>
      <c r="T11" s="22">
        <f t="shared" si="1"/>
        <v>111.34940367328316</v>
      </c>
      <c r="U11" s="22">
        <f t="shared" si="1"/>
        <v>107.55805162686553</v>
      </c>
      <c r="V11" s="59">
        <f t="shared" si="1"/>
        <v>101.06620271821379</v>
      </c>
      <c r="W11" s="74">
        <f>SUM(W10/W8*100)</f>
        <v>103.34225689281892</v>
      </c>
      <c r="X11" s="100">
        <f>SUM(X10/X8*100)</f>
        <v>98.22118311984602</v>
      </c>
    </row>
    <row r="12" spans="1:24" ht="13.5" thickBot="1">
      <c r="A12" s="41" t="s">
        <v>33</v>
      </c>
      <c r="B12" s="33" t="s">
        <v>3</v>
      </c>
      <c r="C12" s="19">
        <f aca="true" t="shared" si="2" ref="C12:K12">SUM(C13:C28)</f>
        <v>50714.81</v>
      </c>
      <c r="D12" s="70">
        <f t="shared" si="2"/>
        <v>249091.24999999994</v>
      </c>
      <c r="E12" s="19">
        <f t="shared" si="2"/>
        <v>307925.02</v>
      </c>
      <c r="F12" s="70">
        <f t="shared" si="2"/>
        <v>324223.16000000003</v>
      </c>
      <c r="G12" s="70">
        <f t="shared" si="2"/>
        <v>288706.54000000004</v>
      </c>
      <c r="H12" s="105">
        <f>SUM(H13:H28)</f>
        <v>303521.39</v>
      </c>
      <c r="I12" s="70">
        <f>SUM(I13:I28)</f>
        <v>402424.82</v>
      </c>
      <c r="J12" s="70">
        <f>SUM(J13:J28)</f>
        <v>340439.5</v>
      </c>
      <c r="K12" s="13">
        <f t="shared" si="2"/>
        <v>26773.75</v>
      </c>
      <c r="L12" s="13">
        <f aca="true" t="shared" si="3" ref="L12:V12">SUM(L13:L28)</f>
        <v>25785.949999999997</v>
      </c>
      <c r="M12" s="13">
        <f t="shared" si="3"/>
        <v>36849.619999999995</v>
      </c>
      <c r="N12" s="13">
        <f t="shared" si="3"/>
        <v>29492.120000000003</v>
      </c>
      <c r="O12" s="13">
        <f t="shared" si="3"/>
        <v>29263.29</v>
      </c>
      <c r="P12" s="13">
        <f t="shared" si="3"/>
        <v>28546.18</v>
      </c>
      <c r="Q12" s="13">
        <f t="shared" si="3"/>
        <v>45744.11</v>
      </c>
      <c r="R12" s="13">
        <f t="shared" si="3"/>
        <v>29436.61</v>
      </c>
      <c r="S12" s="13">
        <f t="shared" si="3"/>
        <v>38392.15</v>
      </c>
      <c r="T12" s="13">
        <f t="shared" si="3"/>
        <v>27431.370000000003</v>
      </c>
      <c r="U12" s="13">
        <f t="shared" si="3"/>
        <v>30435.219999999998</v>
      </c>
      <c r="V12" s="19">
        <f t="shared" si="3"/>
        <v>27961.230000000003</v>
      </c>
      <c r="W12" s="70">
        <f>SUM(K12:V12)</f>
        <v>376111.6</v>
      </c>
      <c r="X12" s="101">
        <f>SUM(C12:V12)</f>
        <v>2643158.090000001</v>
      </c>
    </row>
    <row r="13" spans="1:24" ht="13.5" thickBot="1">
      <c r="A13" s="41" t="s">
        <v>34</v>
      </c>
      <c r="B13" s="34" t="s">
        <v>5</v>
      </c>
      <c r="C13" s="53">
        <v>13815.03</v>
      </c>
      <c r="D13" s="54">
        <v>59059.8</v>
      </c>
      <c r="E13" s="85">
        <v>60125.44</v>
      </c>
      <c r="F13" s="54">
        <v>61015.93</v>
      </c>
      <c r="G13" s="54">
        <v>68098.56</v>
      </c>
      <c r="H13" s="85">
        <v>80038.43</v>
      </c>
      <c r="I13" s="54">
        <v>76642.65</v>
      </c>
      <c r="J13" s="54">
        <v>76601.75</v>
      </c>
      <c r="K13" s="7">
        <f>5989+74.18</f>
        <v>6063.18</v>
      </c>
      <c r="L13" s="8">
        <f>6042+351.45</f>
        <v>6393.45</v>
      </c>
      <c r="M13" s="8">
        <f>6042+206.38</f>
        <v>6248.38</v>
      </c>
      <c r="N13" s="8">
        <f>6042+654.02</f>
        <v>6696.02</v>
      </c>
      <c r="O13" s="8">
        <f>6042+326.45</f>
        <v>6368.45</v>
      </c>
      <c r="P13" s="8">
        <f>5989+197.94</f>
        <v>6186.94</v>
      </c>
      <c r="Q13" s="8">
        <f>5989+311.83</f>
        <v>6300.83</v>
      </c>
      <c r="R13" s="8">
        <f>5989+362.58</f>
        <v>6351.58</v>
      </c>
      <c r="S13" s="8">
        <f>5989+375.04</f>
        <v>6364.04</v>
      </c>
      <c r="T13" s="8">
        <f>5989+389.87</f>
        <v>6378.87</v>
      </c>
      <c r="U13" s="8">
        <f>5989+340.72</f>
        <v>6329.72</v>
      </c>
      <c r="V13" s="17">
        <f>5989+341.35</f>
        <v>6330.35</v>
      </c>
      <c r="W13" s="70">
        <f aca="true" t="shared" si="4" ref="W13:W30">SUM(K13:V13)</f>
        <v>76011.81000000001</v>
      </c>
      <c r="X13" s="101">
        <f aca="true" t="shared" si="5" ref="X13:X28">SUM(C13:V13)</f>
        <v>571409.3999999998</v>
      </c>
    </row>
    <row r="14" spans="1:24" ht="12.75" customHeight="1" thickBot="1">
      <c r="A14" s="41" t="s">
        <v>35</v>
      </c>
      <c r="B14" s="35" t="s">
        <v>67</v>
      </c>
      <c r="C14" s="55">
        <v>28885.67</v>
      </c>
      <c r="D14" s="56">
        <v>79441.19</v>
      </c>
      <c r="E14" s="86">
        <v>30664</v>
      </c>
      <c r="F14" s="56">
        <f>12695.14+1926.4</f>
        <v>14621.539999999999</v>
      </c>
      <c r="G14" s="56">
        <v>2524.61</v>
      </c>
      <c r="H14" s="86"/>
      <c r="I14" s="56">
        <v>15686.33</v>
      </c>
      <c r="J14" s="56">
        <v>8204.37</v>
      </c>
      <c r="K14" s="9"/>
      <c r="L14" s="10"/>
      <c r="M14" s="10"/>
      <c r="N14" s="10"/>
      <c r="O14" s="10">
        <v>640</v>
      </c>
      <c r="P14" s="10"/>
      <c r="Q14" s="10"/>
      <c r="R14" s="10"/>
      <c r="S14" s="10"/>
      <c r="T14" s="10"/>
      <c r="U14" s="10"/>
      <c r="V14" s="18">
        <v>1000</v>
      </c>
      <c r="W14" s="70">
        <f t="shared" si="4"/>
        <v>1640</v>
      </c>
      <c r="X14" s="101">
        <f>SUM(C14:V14)</f>
        <v>181667.70999999996</v>
      </c>
    </row>
    <row r="15" spans="1:24" ht="15.75" customHeight="1" thickBot="1">
      <c r="A15" s="41" t="s">
        <v>36</v>
      </c>
      <c r="B15" s="32" t="s">
        <v>6</v>
      </c>
      <c r="C15" s="55">
        <v>0</v>
      </c>
      <c r="D15" s="56">
        <v>0</v>
      </c>
      <c r="E15" s="86">
        <v>3909.81</v>
      </c>
      <c r="F15" s="56">
        <v>0</v>
      </c>
      <c r="G15" s="56">
        <v>0</v>
      </c>
      <c r="H15" s="86">
        <v>7835.5</v>
      </c>
      <c r="I15" s="56">
        <v>0</v>
      </c>
      <c r="J15" s="56">
        <v>0</v>
      </c>
      <c r="K15" s="9"/>
      <c r="L15" s="10"/>
      <c r="M15" s="10"/>
      <c r="N15" s="10"/>
      <c r="O15" s="10"/>
      <c r="P15" s="10"/>
      <c r="Q15" s="10"/>
      <c r="R15" s="10"/>
      <c r="S15" s="10">
        <v>8419.7</v>
      </c>
      <c r="T15" s="10"/>
      <c r="U15" s="10"/>
      <c r="V15" s="18"/>
      <c r="W15" s="70">
        <f t="shared" si="4"/>
        <v>8419.7</v>
      </c>
      <c r="X15" s="101">
        <f t="shared" si="5"/>
        <v>20165.010000000002</v>
      </c>
    </row>
    <row r="16" spans="1:24" ht="15.75" customHeight="1" thickBot="1">
      <c r="A16" s="41" t="s">
        <v>37</v>
      </c>
      <c r="B16" s="35" t="s">
        <v>58</v>
      </c>
      <c r="C16" s="55">
        <v>523.69</v>
      </c>
      <c r="D16" s="56">
        <v>8836.02</v>
      </c>
      <c r="E16" s="86">
        <v>24663.79</v>
      </c>
      <c r="F16" s="56">
        <v>40946.44</v>
      </c>
      <c r="G16" s="56">
        <v>8078.95</v>
      </c>
      <c r="H16" s="86">
        <v>5479.08</v>
      </c>
      <c r="I16" s="56">
        <v>51896.23</v>
      </c>
      <c r="J16" s="56">
        <v>19141.49</v>
      </c>
      <c r="K16" s="9">
        <v>257</v>
      </c>
      <c r="L16" s="10">
        <v>509.97</v>
      </c>
      <c r="M16" s="8">
        <f>6470.56+1050</f>
        <v>7520.56</v>
      </c>
      <c r="N16" s="10">
        <v>2038.7</v>
      </c>
      <c r="O16" s="10">
        <v>240</v>
      </c>
      <c r="P16" s="10">
        <f>90+511.86</f>
        <v>601.86</v>
      </c>
      <c r="Q16" s="10">
        <f>14806.81</f>
        <v>14806.81</v>
      </c>
      <c r="R16" s="10">
        <f>1846+395</f>
        <v>2241</v>
      </c>
      <c r="S16" s="10">
        <f>1082.3+670</f>
        <v>1752.3</v>
      </c>
      <c r="T16" s="10">
        <v>380.86</v>
      </c>
      <c r="U16" s="10">
        <v>223.85</v>
      </c>
      <c r="V16" s="18">
        <v>342.49</v>
      </c>
      <c r="W16" s="70">
        <f t="shared" si="4"/>
        <v>30915.4</v>
      </c>
      <c r="X16" s="101">
        <f t="shared" si="5"/>
        <v>190481.08999999997</v>
      </c>
    </row>
    <row r="17" spans="1:24" ht="12" customHeight="1" thickBot="1">
      <c r="A17" s="41" t="s">
        <v>69</v>
      </c>
      <c r="B17" s="35" t="s">
        <v>70</v>
      </c>
      <c r="C17" s="55"/>
      <c r="D17" s="56"/>
      <c r="E17" s="86"/>
      <c r="F17" s="56"/>
      <c r="G17" s="56"/>
      <c r="H17" s="86"/>
      <c r="I17" s="56">
        <v>2800</v>
      </c>
      <c r="J17" s="56">
        <v>3200</v>
      </c>
      <c r="K17" s="9"/>
      <c r="L17" s="10"/>
      <c r="M17" s="10"/>
      <c r="N17" s="10"/>
      <c r="O17" s="10"/>
      <c r="P17" s="10"/>
      <c r="Q17" s="10"/>
      <c r="R17" s="10"/>
      <c r="S17" s="10"/>
      <c r="T17" s="10"/>
      <c r="U17" s="10">
        <v>2700</v>
      </c>
      <c r="V17" s="18"/>
      <c r="W17" s="70">
        <f>SUM(K17:V17)</f>
        <v>2700</v>
      </c>
      <c r="X17" s="101">
        <f>SUM(C17:V17)</f>
        <v>8700</v>
      </c>
    </row>
    <row r="18" spans="1:24" ht="24.75" customHeight="1" thickBot="1">
      <c r="A18" s="41" t="s">
        <v>38</v>
      </c>
      <c r="B18" s="35" t="s">
        <v>55</v>
      </c>
      <c r="C18" s="55">
        <v>0</v>
      </c>
      <c r="D18" s="56">
        <v>0</v>
      </c>
      <c r="E18" s="86">
        <v>0</v>
      </c>
      <c r="F18" s="56">
        <v>256</v>
      </c>
      <c r="G18" s="56">
        <v>0</v>
      </c>
      <c r="H18" s="86">
        <v>62.04</v>
      </c>
      <c r="I18" s="56">
        <v>8802.96</v>
      </c>
      <c r="J18" s="56">
        <v>5811</v>
      </c>
      <c r="K18" s="9">
        <v>8</v>
      </c>
      <c r="L18" s="10">
        <v>94.94</v>
      </c>
      <c r="M18" s="10"/>
      <c r="N18" s="10"/>
      <c r="O18" s="10"/>
      <c r="P18" s="10"/>
      <c r="Q18" s="10"/>
      <c r="R18" s="10">
        <v>900</v>
      </c>
      <c r="S18" s="10"/>
      <c r="T18" s="10"/>
      <c r="U18" s="10"/>
      <c r="V18" s="18">
        <v>224.41</v>
      </c>
      <c r="W18" s="70">
        <f t="shared" si="4"/>
        <v>1227.3500000000001</v>
      </c>
      <c r="X18" s="101">
        <f t="shared" si="5"/>
        <v>16159.35</v>
      </c>
    </row>
    <row r="19" spans="1:24" ht="15" customHeight="1" thickBot="1">
      <c r="A19" s="41" t="s">
        <v>39</v>
      </c>
      <c r="B19" s="35" t="s">
        <v>77</v>
      </c>
      <c r="C19" s="55">
        <v>3245.69</v>
      </c>
      <c r="D19" s="56">
        <v>9581.96</v>
      </c>
      <c r="E19" s="86">
        <v>8929.2</v>
      </c>
      <c r="F19" s="56">
        <v>5122.7</v>
      </c>
      <c r="G19" s="56">
        <v>0</v>
      </c>
      <c r="H19" s="86"/>
      <c r="I19" s="56">
        <v>0</v>
      </c>
      <c r="J19" s="56">
        <v>0</v>
      </c>
      <c r="K19" s="9">
        <v>1705.6</v>
      </c>
      <c r="L19" s="10">
        <v>1705.6</v>
      </c>
      <c r="M19" s="10">
        <v>1705.6</v>
      </c>
      <c r="N19" s="10">
        <v>1705.6</v>
      </c>
      <c r="O19" s="10">
        <v>1705.63</v>
      </c>
      <c r="P19" s="10">
        <v>2405.41</v>
      </c>
      <c r="Q19" s="10">
        <v>547.58</v>
      </c>
      <c r="R19" s="10">
        <v>1476.42</v>
      </c>
      <c r="S19" s="10">
        <v>1476.42</v>
      </c>
      <c r="T19" s="10">
        <v>1476.42</v>
      </c>
      <c r="U19" s="10">
        <v>1476.42</v>
      </c>
      <c r="V19" s="18">
        <v>1476.42</v>
      </c>
      <c r="W19" s="70">
        <f t="shared" si="4"/>
        <v>18863.119999999995</v>
      </c>
      <c r="X19" s="101">
        <f t="shared" si="5"/>
        <v>45742.669999999984</v>
      </c>
    </row>
    <row r="20" spans="1:24" ht="15" customHeight="1" thickBot="1">
      <c r="A20" s="41"/>
      <c r="B20" s="35" t="s">
        <v>78</v>
      </c>
      <c r="C20" s="55"/>
      <c r="D20" s="56"/>
      <c r="E20" s="86"/>
      <c r="F20" s="56"/>
      <c r="G20" s="56"/>
      <c r="H20" s="86"/>
      <c r="I20" s="56"/>
      <c r="J20" s="56"/>
      <c r="K20" s="9"/>
      <c r="L20" s="10"/>
      <c r="M20" s="10"/>
      <c r="N20" s="10"/>
      <c r="O20" s="10">
        <v>300.6</v>
      </c>
      <c r="P20" s="10">
        <v>154.99</v>
      </c>
      <c r="Q20" s="10">
        <v>80.61</v>
      </c>
      <c r="R20" s="10">
        <v>80.61</v>
      </c>
      <c r="S20" s="10">
        <v>80.61</v>
      </c>
      <c r="T20" s="10">
        <v>80.61</v>
      </c>
      <c r="U20" s="10">
        <v>80.61</v>
      </c>
      <c r="V20" s="18">
        <v>80.61</v>
      </c>
      <c r="W20" s="70">
        <f>SUM(K20:V20)</f>
        <v>939.2500000000001</v>
      </c>
      <c r="X20" s="101">
        <f>SUM(C20:V20)</f>
        <v>939.2500000000001</v>
      </c>
    </row>
    <row r="21" spans="1:24" ht="15" customHeight="1" thickBot="1">
      <c r="A21" s="41"/>
      <c r="B21" s="35" t="s">
        <v>79</v>
      </c>
      <c r="C21" s="55"/>
      <c r="D21" s="56"/>
      <c r="E21" s="86"/>
      <c r="F21" s="56"/>
      <c r="G21" s="56"/>
      <c r="H21" s="86"/>
      <c r="I21" s="56"/>
      <c r="J21" s="56"/>
      <c r="K21" s="9"/>
      <c r="L21" s="10"/>
      <c r="M21" s="10">
        <f>1009.14+504.57</f>
        <v>1513.71</v>
      </c>
      <c r="N21" s="10">
        <v>898.82</v>
      </c>
      <c r="O21" s="10">
        <v>898.82</v>
      </c>
      <c r="P21" s="10">
        <v>346.93</v>
      </c>
      <c r="Q21" s="10">
        <v>332.41</v>
      </c>
      <c r="R21" s="10">
        <v>358.87</v>
      </c>
      <c r="S21" s="10">
        <v>358.93</v>
      </c>
      <c r="T21" s="10">
        <v>358.93</v>
      </c>
      <c r="U21" s="10">
        <v>358.93</v>
      </c>
      <c r="V21" s="18">
        <v>358.93</v>
      </c>
      <c r="W21" s="70">
        <f>SUM(K21:V21)</f>
        <v>5785.280000000002</v>
      </c>
      <c r="X21" s="101">
        <f>SUM(C21:V21)</f>
        <v>5785.280000000002</v>
      </c>
    </row>
    <row r="22" spans="1:24" ht="15" customHeight="1" thickBot="1">
      <c r="A22" s="41"/>
      <c r="B22" s="35" t="s">
        <v>80</v>
      </c>
      <c r="C22" s="55"/>
      <c r="D22" s="56"/>
      <c r="E22" s="86"/>
      <c r="F22" s="56"/>
      <c r="G22" s="56"/>
      <c r="H22" s="86"/>
      <c r="I22" s="56"/>
      <c r="J22" s="56"/>
      <c r="K22" s="9"/>
      <c r="L22" s="10"/>
      <c r="M22" s="10"/>
      <c r="N22" s="10"/>
      <c r="O22" s="10"/>
      <c r="P22" s="10">
        <v>114.48</v>
      </c>
      <c r="Q22" s="10">
        <v>117.24</v>
      </c>
      <c r="R22" s="10">
        <v>117.24</v>
      </c>
      <c r="S22" s="10">
        <v>117.24</v>
      </c>
      <c r="T22" s="10">
        <v>117.24</v>
      </c>
      <c r="U22" s="10">
        <v>117.24</v>
      </c>
      <c r="V22" s="18">
        <v>117.24</v>
      </c>
      <c r="W22" s="70">
        <f>SUM(K22:V22)</f>
        <v>817.92</v>
      </c>
      <c r="X22" s="101">
        <f>SUM(C22:V22)</f>
        <v>817.92</v>
      </c>
    </row>
    <row r="23" spans="1:24" ht="14.25" customHeight="1" thickBot="1">
      <c r="A23" s="41" t="s">
        <v>40</v>
      </c>
      <c r="B23" s="35" t="s">
        <v>7</v>
      </c>
      <c r="C23" s="55">
        <v>382.96</v>
      </c>
      <c r="D23" s="56">
        <v>2390.99</v>
      </c>
      <c r="E23" s="86">
        <v>595.38</v>
      </c>
      <c r="F23" s="56">
        <v>767.86</v>
      </c>
      <c r="G23" s="56">
        <v>846.84</v>
      </c>
      <c r="H23" s="86">
        <v>931.91</v>
      </c>
      <c r="I23" s="56">
        <v>727.16</v>
      </c>
      <c r="J23" s="56">
        <v>763.33</v>
      </c>
      <c r="K23" s="9">
        <v>278.93</v>
      </c>
      <c r="L23" s="10"/>
      <c r="M23" s="10"/>
      <c r="N23" s="10">
        <v>278.91</v>
      </c>
      <c r="O23" s="10"/>
      <c r="P23" s="10">
        <v>279.03</v>
      </c>
      <c r="Q23" s="10"/>
      <c r="R23" s="10"/>
      <c r="S23" s="10">
        <v>249.52</v>
      </c>
      <c r="T23" s="10"/>
      <c r="U23" s="10"/>
      <c r="V23" s="18">
        <v>264.48</v>
      </c>
      <c r="W23" s="70">
        <f t="shared" si="4"/>
        <v>1350.8700000000001</v>
      </c>
      <c r="X23" s="101">
        <f t="shared" si="5"/>
        <v>8757.3</v>
      </c>
    </row>
    <row r="24" spans="1:24" ht="22.5" customHeight="1" thickBot="1">
      <c r="A24" s="41" t="s">
        <v>41</v>
      </c>
      <c r="B24" s="35" t="s">
        <v>81</v>
      </c>
      <c r="C24" s="55">
        <v>0</v>
      </c>
      <c r="D24" s="56">
        <v>4000.69</v>
      </c>
      <c r="E24" s="86">
        <v>14299.54</v>
      </c>
      <c r="F24" s="56">
        <v>19911.73</v>
      </c>
      <c r="G24" s="56">
        <v>16442.98</v>
      </c>
      <c r="H24" s="86">
        <v>11955.94</v>
      </c>
      <c r="I24" s="56">
        <v>14104.35</v>
      </c>
      <c r="J24" s="56">
        <v>14938.46</v>
      </c>
      <c r="K24" s="9">
        <v>1264.07</v>
      </c>
      <c r="L24" s="10">
        <v>1181.95</v>
      </c>
      <c r="M24" s="10">
        <v>1469.35</v>
      </c>
      <c r="N24" s="10">
        <v>1092.38</v>
      </c>
      <c r="O24" s="10">
        <v>1163.64</v>
      </c>
      <c r="P24" s="10">
        <v>1308.59</v>
      </c>
      <c r="Q24" s="10">
        <v>1060.57</v>
      </c>
      <c r="R24" s="10">
        <v>1226.74</v>
      </c>
      <c r="S24" s="10">
        <v>1153.88</v>
      </c>
      <c r="T24" s="10">
        <v>1472.18</v>
      </c>
      <c r="U24" s="10">
        <v>1522.8</v>
      </c>
      <c r="V24" s="18">
        <v>1258.38</v>
      </c>
      <c r="W24" s="70">
        <f t="shared" si="4"/>
        <v>15174.530000000002</v>
      </c>
      <c r="X24" s="101">
        <f t="shared" si="5"/>
        <v>110828.22000000003</v>
      </c>
    </row>
    <row r="25" spans="1:24" ht="22.5" customHeight="1" thickBot="1">
      <c r="A25" s="41" t="s">
        <v>56</v>
      </c>
      <c r="B25" s="35" t="s">
        <v>68</v>
      </c>
      <c r="C25" s="55">
        <v>1515.3</v>
      </c>
      <c r="D25" s="56">
        <v>6964.84</v>
      </c>
      <c r="E25" s="86">
        <v>8332.13</v>
      </c>
      <c r="F25" s="56">
        <v>2331.95</v>
      </c>
      <c r="G25" s="56">
        <v>1654.44</v>
      </c>
      <c r="H25" s="86">
        <v>3596.63</v>
      </c>
      <c r="I25" s="56">
        <v>2431.28</v>
      </c>
      <c r="J25" s="56">
        <v>2125.14</v>
      </c>
      <c r="K25" s="9">
        <v>277.79</v>
      </c>
      <c r="L25" s="10">
        <v>85.47</v>
      </c>
      <c r="M25" s="10">
        <v>91.74</v>
      </c>
      <c r="N25" s="10">
        <v>84.87</v>
      </c>
      <c r="O25" s="10">
        <v>82.38</v>
      </c>
      <c r="P25" s="10">
        <v>128.1</v>
      </c>
      <c r="Q25" s="10">
        <v>120.34</v>
      </c>
      <c r="R25" s="10">
        <v>370.49</v>
      </c>
      <c r="S25" s="10">
        <v>86.48</v>
      </c>
      <c r="T25" s="10">
        <v>127.86</v>
      </c>
      <c r="U25" s="10">
        <f>86.46</f>
        <v>86.46</v>
      </c>
      <c r="V25" s="18">
        <v>117.87</v>
      </c>
      <c r="W25" s="70">
        <f t="shared" si="4"/>
        <v>1659.85</v>
      </c>
      <c r="X25" s="101">
        <f t="shared" si="5"/>
        <v>30611.559999999998</v>
      </c>
    </row>
    <row r="26" spans="1:24" ht="36.75" customHeight="1" thickBot="1">
      <c r="A26" s="41" t="s">
        <v>57</v>
      </c>
      <c r="B26" s="35" t="s">
        <v>72</v>
      </c>
      <c r="C26" s="55">
        <v>0</v>
      </c>
      <c r="D26" s="56">
        <v>2145.77</v>
      </c>
      <c r="E26" s="86">
        <v>13963.68</v>
      </c>
      <c r="F26" s="56">
        <v>12120.57</v>
      </c>
      <c r="G26" s="56">
        <v>16230.33</v>
      </c>
      <c r="H26" s="86">
        <v>13945.95</v>
      </c>
      <c r="I26" s="56">
        <v>18112.4</v>
      </c>
      <c r="J26" s="56">
        <v>15543.89</v>
      </c>
      <c r="K26" s="9">
        <f>55.72+388.09+635.25</f>
        <v>1079.06</v>
      </c>
      <c r="L26" s="10">
        <f>55.47+459.84+389.53</f>
        <v>904.8399999999999</v>
      </c>
      <c r="M26" s="10">
        <f>54.63+511.11+684.38</f>
        <v>1250.12</v>
      </c>
      <c r="N26" s="10">
        <f>51.59+468.62+658.74</f>
        <v>1178.95</v>
      </c>
      <c r="O26" s="10">
        <f>53.01+568.42+1611.91</f>
        <v>2233.34</v>
      </c>
      <c r="P26" s="10">
        <f>783.18+62.2+465.49</f>
        <v>1310.87</v>
      </c>
      <c r="Q26" s="10">
        <f>68.07+409.67+731.38</f>
        <v>1209.12</v>
      </c>
      <c r="R26" s="10">
        <f>73.78+378.01+871.74</f>
        <v>1323.53</v>
      </c>
      <c r="S26" s="10">
        <f>748.41+59.32+479.4</f>
        <v>1287.13</v>
      </c>
      <c r="T26" s="10">
        <f>76.19+541.79+790.34</f>
        <v>1408.3200000000002</v>
      </c>
      <c r="U26" s="10">
        <f>69.93+631.33+1247.56</f>
        <v>1948.82</v>
      </c>
      <c r="V26" s="18">
        <f>72.06+636.13+529.3</f>
        <v>1237.49</v>
      </c>
      <c r="W26" s="70">
        <f t="shared" si="4"/>
        <v>16371.589999999998</v>
      </c>
      <c r="X26" s="101">
        <f t="shared" si="5"/>
        <v>108434.18000000001</v>
      </c>
    </row>
    <row r="27" spans="1:24" ht="15.75" customHeight="1" thickBot="1">
      <c r="A27" s="41" t="s">
        <v>59</v>
      </c>
      <c r="B27" s="35" t="s">
        <v>11</v>
      </c>
      <c r="C27" s="55">
        <v>1452.84</v>
      </c>
      <c r="D27" s="56">
        <v>64752.97</v>
      </c>
      <c r="E27" s="86">
        <v>120891.1</v>
      </c>
      <c r="F27" s="56">
        <v>152251.09</v>
      </c>
      <c r="G27" s="56">
        <v>160355.32</v>
      </c>
      <c r="H27" s="86">
        <v>164067.03</v>
      </c>
      <c r="I27" s="56">
        <v>196745.67</v>
      </c>
      <c r="J27" s="56">
        <v>180352.17</v>
      </c>
      <c r="K27" s="9">
        <f>26421.93-11637.84</f>
        <v>14784.09</v>
      </c>
      <c r="L27" s="10">
        <f>25182.35-11462.91</f>
        <v>13719.439999999999</v>
      </c>
      <c r="M27" s="10">
        <f>36402.97-19095.38-1513.71</f>
        <v>15793.880000000001</v>
      </c>
      <c r="N27" s="10">
        <f>29012.77-13784.93-898.82</f>
        <v>14329.02</v>
      </c>
      <c r="O27" s="10">
        <f>3176.18+636+8808.45+1794.31</f>
        <v>14414.94</v>
      </c>
      <c r="P27" s="10">
        <f>28546.18-14051.32</f>
        <v>14494.86</v>
      </c>
      <c r="Q27" s="10">
        <f>45744.11-25799.84</f>
        <v>19944.27</v>
      </c>
      <c r="R27" s="10">
        <f>29436.61-15587.08</f>
        <v>13849.53</v>
      </c>
      <c r="S27" s="10">
        <f>38392.15-22510.1</f>
        <v>15882.050000000003</v>
      </c>
      <c r="T27" s="10">
        <f>27431.37-13080.44</f>
        <v>14350.929999999998</v>
      </c>
      <c r="U27" s="10">
        <f>30435.22-16080.45</f>
        <v>14354.77</v>
      </c>
      <c r="V27" s="18">
        <f>27961.23-13992.75</f>
        <v>13968.48</v>
      </c>
      <c r="W27" s="70">
        <f t="shared" si="4"/>
        <v>179886.26</v>
      </c>
      <c r="X27" s="101">
        <f t="shared" si="5"/>
        <v>1220754.45</v>
      </c>
    </row>
    <row r="28" spans="1:24" ht="13.5" customHeight="1" thickBot="1">
      <c r="A28" s="41" t="s">
        <v>60</v>
      </c>
      <c r="B28" s="36" t="s">
        <v>4</v>
      </c>
      <c r="C28" s="57">
        <v>893.63</v>
      </c>
      <c r="D28" s="58">
        <v>11917.02</v>
      </c>
      <c r="E28" s="87">
        <v>21550.95</v>
      </c>
      <c r="F28" s="58">
        <v>14877.35</v>
      </c>
      <c r="G28" s="58">
        <v>14474.51</v>
      </c>
      <c r="H28" s="87">
        <v>15608.88</v>
      </c>
      <c r="I28" s="58">
        <v>14475.79</v>
      </c>
      <c r="J28" s="58">
        <v>13757.9</v>
      </c>
      <c r="K28" s="11">
        <v>1056.03</v>
      </c>
      <c r="L28" s="12">
        <f>80.72+1109.57</f>
        <v>1190.29</v>
      </c>
      <c r="M28" s="12">
        <f>56.04+80.9+1119.34</f>
        <v>1256.28</v>
      </c>
      <c r="N28" s="12">
        <f>81.8+1107.05</f>
        <v>1188.85</v>
      </c>
      <c r="O28" s="12">
        <f>84.66+1130.83</f>
        <v>1215.49</v>
      </c>
      <c r="P28" s="12">
        <f>84.51+1129.61</f>
        <v>1214.12</v>
      </c>
      <c r="Q28" s="12">
        <f>25.94+104.95+1093.44</f>
        <v>1224.3300000000002</v>
      </c>
      <c r="R28" s="12">
        <f>40.24+1100.36</f>
        <v>1140.6</v>
      </c>
      <c r="S28" s="12">
        <f>72.55+1091.3</f>
        <v>1163.85</v>
      </c>
      <c r="T28" s="12">
        <f>73.86+1205.29</f>
        <v>1279.1499999999999</v>
      </c>
      <c r="U28" s="12">
        <f>72.38+1163.22</f>
        <v>1235.6</v>
      </c>
      <c r="V28" s="20">
        <f>23.07+74.17+1086.84</f>
        <v>1184.08</v>
      </c>
      <c r="W28" s="70">
        <f t="shared" si="4"/>
        <v>14348.67</v>
      </c>
      <c r="X28" s="101">
        <f t="shared" si="5"/>
        <v>121904.70000000001</v>
      </c>
    </row>
    <row r="29" spans="1:24" ht="13.5" customHeight="1" thickBot="1">
      <c r="A29" s="41"/>
      <c r="B29" s="50" t="s">
        <v>64</v>
      </c>
      <c r="C29" s="90"/>
      <c r="D29" s="91"/>
      <c r="E29" s="92"/>
      <c r="F29" s="91"/>
      <c r="G29" s="91"/>
      <c r="H29" s="109">
        <f>H8*5%</f>
        <v>18220.6875</v>
      </c>
      <c r="I29" s="94">
        <f>I8*5%</f>
        <v>18546.017000000003</v>
      </c>
      <c r="J29" s="94">
        <f>J8*5%</f>
        <v>18253.4445</v>
      </c>
      <c r="K29" s="93">
        <f>K8*5%</f>
        <v>1520.2665000000002</v>
      </c>
      <c r="L29" s="93">
        <f aca="true" t="shared" si="6" ref="L29:V29">L8*5%</f>
        <v>1520.2665000000002</v>
      </c>
      <c r="M29" s="93">
        <f t="shared" si="6"/>
        <v>1520.2665000000002</v>
      </c>
      <c r="N29" s="93">
        <f t="shared" si="6"/>
        <v>1520.784</v>
      </c>
      <c r="O29" s="93">
        <f t="shared" si="6"/>
        <v>1521.146</v>
      </c>
      <c r="P29" s="93">
        <f t="shared" si="6"/>
        <v>1521.146</v>
      </c>
      <c r="Q29" s="93">
        <f t="shared" si="6"/>
        <v>1521.146</v>
      </c>
      <c r="R29" s="93">
        <f t="shared" si="6"/>
        <v>1521.146</v>
      </c>
      <c r="S29" s="93">
        <f t="shared" si="6"/>
        <v>1521.146</v>
      </c>
      <c r="T29" s="93">
        <f t="shared" si="6"/>
        <v>1521.146</v>
      </c>
      <c r="U29" s="93">
        <f t="shared" si="6"/>
        <v>1521.146</v>
      </c>
      <c r="V29" s="93">
        <f t="shared" si="6"/>
        <v>1521.146</v>
      </c>
      <c r="W29" s="94">
        <f t="shared" si="4"/>
        <v>18250.751500000002</v>
      </c>
      <c r="X29" s="102"/>
    </row>
    <row r="30" spans="1:24" ht="11.25" customHeight="1" thickBot="1">
      <c r="A30" s="41" t="s">
        <v>42</v>
      </c>
      <c r="B30" s="75" t="s">
        <v>52</v>
      </c>
      <c r="C30" s="76"/>
      <c r="D30" s="77"/>
      <c r="E30" s="88"/>
      <c r="F30" s="77"/>
      <c r="G30" s="77"/>
      <c r="H30" s="88"/>
      <c r="I30" s="110"/>
      <c r="J30" s="110"/>
      <c r="K30" s="95">
        <f>SUM(K8+K9-K12)-K29</f>
        <v>4392.703500000001</v>
      </c>
      <c r="L30" s="95">
        <f aca="true" t="shared" si="7" ref="L30:V30">SUM(L8+L9-L12)-L29</f>
        <v>5380.503500000004</v>
      </c>
      <c r="M30" s="95">
        <f t="shared" si="7"/>
        <v>-5679.216499999993</v>
      </c>
      <c r="N30" s="95">
        <f t="shared" si="7"/>
        <v>1688.165999999997</v>
      </c>
      <c r="O30" s="95">
        <f t="shared" si="7"/>
        <v>1923.8939999999973</v>
      </c>
      <c r="P30" s="95">
        <f t="shared" si="7"/>
        <v>3302.1839999999947</v>
      </c>
      <c r="Q30" s="95">
        <f t="shared" si="7"/>
        <v>-15738.006000000001</v>
      </c>
      <c r="R30" s="95">
        <f t="shared" si="7"/>
        <v>1498.333999999996</v>
      </c>
      <c r="S30" s="95">
        <f t="shared" si="7"/>
        <v>-7457.206000000005</v>
      </c>
      <c r="T30" s="95">
        <f t="shared" si="7"/>
        <v>3503.573999999994</v>
      </c>
      <c r="U30" s="95">
        <f t="shared" si="7"/>
        <v>499.723999999999</v>
      </c>
      <c r="V30" s="95">
        <f t="shared" si="7"/>
        <v>2973.7139999999936</v>
      </c>
      <c r="W30" s="94">
        <f t="shared" si="4"/>
        <v>-3711.6315000000204</v>
      </c>
      <c r="X30" s="78"/>
    </row>
    <row r="31" spans="1:24" ht="21" customHeight="1" thickBot="1">
      <c r="A31" s="41" t="s">
        <v>43</v>
      </c>
      <c r="B31" s="37" t="s">
        <v>25</v>
      </c>
      <c r="C31" s="44">
        <v>30335.35</v>
      </c>
      <c r="D31" s="49">
        <v>77883.56</v>
      </c>
      <c r="E31" s="89">
        <f>SUM(E8-E12)</f>
        <v>51054.57000000001</v>
      </c>
      <c r="F31" s="69">
        <f>SUM(F8-F12)</f>
        <v>41054.139999999956</v>
      </c>
      <c r="G31" s="69">
        <f>SUM(G8-G12)</f>
        <v>75886.39999999997</v>
      </c>
      <c r="H31" s="106">
        <f>SUM(H8-H12)-H29</f>
        <v>42671.672499999986</v>
      </c>
      <c r="I31" s="108">
        <f>SUM(I8-I12)-I29</f>
        <v>-50050.49699999999</v>
      </c>
      <c r="J31" s="94">
        <f>SUM(J8-J12)-J29</f>
        <v>6375.9455000000125</v>
      </c>
      <c r="K31" s="95">
        <f>SUM(K8+K9-K12)-K29</f>
        <v>4392.703500000001</v>
      </c>
      <c r="L31" s="96">
        <f>SUM(L30+K31)</f>
        <v>9773.207000000006</v>
      </c>
      <c r="M31" s="96">
        <f aca="true" t="shared" si="8" ref="M31:V31">SUM(M30+L31)</f>
        <v>4093.9905000000126</v>
      </c>
      <c r="N31" s="96">
        <f t="shared" si="8"/>
        <v>5782.15650000001</v>
      </c>
      <c r="O31" s="96">
        <f t="shared" si="8"/>
        <v>7706.050500000008</v>
      </c>
      <c r="P31" s="96">
        <f t="shared" si="8"/>
        <v>11008.234500000002</v>
      </c>
      <c r="Q31" s="96">
        <f t="shared" si="8"/>
        <v>-4729.771499999999</v>
      </c>
      <c r="R31" s="96">
        <f t="shared" si="8"/>
        <v>-3231.4375000000027</v>
      </c>
      <c r="S31" s="96">
        <f t="shared" si="8"/>
        <v>-10688.643500000007</v>
      </c>
      <c r="T31" s="96">
        <f t="shared" si="8"/>
        <v>-7185.069500000013</v>
      </c>
      <c r="U31" s="96">
        <f t="shared" si="8"/>
        <v>-6685.345500000014</v>
      </c>
      <c r="V31" s="96">
        <f t="shared" si="8"/>
        <v>-3711.6315000000204</v>
      </c>
      <c r="W31" s="69"/>
      <c r="X31" s="61"/>
    </row>
    <row r="32" spans="1:24" ht="0.75" customHeight="1" thickBot="1">
      <c r="A32" s="41" t="s">
        <v>44</v>
      </c>
      <c r="B32" s="50" t="s">
        <v>26</v>
      </c>
      <c r="C32" s="45">
        <v>30335.35</v>
      </c>
      <c r="D32" s="50">
        <v>108218.9</v>
      </c>
      <c r="E32" s="19">
        <f>SUM(E8-E12,D32)</f>
        <v>159273.47</v>
      </c>
      <c r="F32" s="70">
        <f>SUM(F8-F12,E32)</f>
        <v>200327.60999999996</v>
      </c>
      <c r="G32" s="70">
        <f>SUM(G8-G12,F32)</f>
        <v>276214.0099999999</v>
      </c>
      <c r="H32" s="107">
        <f>SUM(H31+G32)</f>
        <v>318885.6824999999</v>
      </c>
      <c r="I32" s="94">
        <f>SUM(I31+H32)</f>
        <v>268835.1854999999</v>
      </c>
      <c r="J32" s="94">
        <f>SUM(J31+I32)</f>
        <v>275211.13099999994</v>
      </c>
      <c r="K32" s="94">
        <f>SUM(K31+J32)</f>
        <v>279603.83449999994</v>
      </c>
      <c r="L32" s="97">
        <f>SUM(L30+K32)</f>
        <v>284984.33799999993</v>
      </c>
      <c r="M32" s="97">
        <f>SUM(M30+L32)</f>
        <v>279305.12149999995</v>
      </c>
      <c r="N32" s="97">
        <f aca="true" t="shared" si="9" ref="N32:U32">SUM(N30+M32)</f>
        <v>280993.2874999999</v>
      </c>
      <c r="O32" s="97">
        <f t="shared" si="9"/>
        <v>282917.1814999999</v>
      </c>
      <c r="P32" s="97">
        <f t="shared" si="9"/>
        <v>286219.3654999999</v>
      </c>
      <c r="Q32" s="97">
        <f t="shared" si="9"/>
        <v>270481.3594999999</v>
      </c>
      <c r="R32" s="97">
        <f t="shared" si="9"/>
        <v>271979.6934999999</v>
      </c>
      <c r="S32" s="97">
        <f t="shared" si="9"/>
        <v>264522.4874999999</v>
      </c>
      <c r="T32" s="97">
        <f t="shared" si="9"/>
        <v>268026.0614999999</v>
      </c>
      <c r="U32" s="97">
        <f t="shared" si="9"/>
        <v>268525.7854999999</v>
      </c>
      <c r="V32" s="97">
        <f>SUM(V30+U32)-0.05</f>
        <v>271499.4494999999</v>
      </c>
      <c r="W32" s="70"/>
      <c r="X32" s="62"/>
    </row>
    <row r="33" spans="1:24" ht="9.75" customHeight="1" hidden="1" thickBot="1">
      <c r="A33" s="41" t="s">
        <v>44</v>
      </c>
      <c r="B33" s="50" t="s">
        <v>9</v>
      </c>
      <c r="C33" s="46"/>
      <c r="D33" s="51"/>
      <c r="E33" s="51"/>
      <c r="F33" s="46"/>
      <c r="G33" s="46"/>
      <c r="H33" s="46"/>
      <c r="I33" s="46"/>
      <c r="J33" s="46"/>
      <c r="K33" s="14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21"/>
      <c r="W33" s="70"/>
      <c r="X33" s="63"/>
    </row>
    <row r="34" spans="1:24" ht="15" customHeight="1" hidden="1" thickBot="1">
      <c r="A34" s="41" t="s">
        <v>45</v>
      </c>
      <c r="B34" s="38" t="s">
        <v>27</v>
      </c>
      <c r="C34" s="46"/>
      <c r="D34" s="51"/>
      <c r="E34" s="51"/>
      <c r="F34" s="46"/>
      <c r="G34" s="46"/>
      <c r="H34" s="46"/>
      <c r="I34" s="46"/>
      <c r="J34" s="46"/>
      <c r="K34" s="14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21"/>
      <c r="W34" s="71"/>
      <c r="X34" s="64"/>
    </row>
    <row r="35" spans="1:24" ht="24" customHeight="1" hidden="1" thickBot="1">
      <c r="A35" s="42" t="s">
        <v>46</v>
      </c>
      <c r="B35" s="39" t="s">
        <v>50</v>
      </c>
      <c r="C35" s="47"/>
      <c r="D35" s="52"/>
      <c r="E35" s="52"/>
      <c r="F35" s="47"/>
      <c r="G35" s="47"/>
      <c r="H35" s="47"/>
      <c r="I35" s="47"/>
      <c r="J35" s="47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>
        <f>SUM(V31-V33)</f>
        <v>-3711.6315000000204</v>
      </c>
      <c r="W35" s="72"/>
      <c r="X35" s="65"/>
    </row>
    <row r="36" spans="1:24" ht="23.25" customHeight="1" hidden="1" thickBot="1">
      <c r="A36" s="42" t="s">
        <v>49</v>
      </c>
      <c r="B36" s="39" t="s">
        <v>28</v>
      </c>
      <c r="C36" s="47"/>
      <c r="D36" s="52"/>
      <c r="E36" s="52"/>
      <c r="F36" s="47"/>
      <c r="G36" s="47"/>
      <c r="H36" s="47"/>
      <c r="I36" s="47"/>
      <c r="J36" s="47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7">
        <f>SUM(V32-V33)</f>
        <v>271499.4494999999</v>
      </c>
      <c r="W36" s="72"/>
      <c r="X36" s="65"/>
    </row>
    <row r="37" spans="3:24" ht="6.75" customHeight="1" hidden="1">
      <c r="C37" s="23"/>
      <c r="D37" s="23"/>
      <c r="E37" s="23"/>
      <c r="F37" s="23"/>
      <c r="G37" s="23"/>
      <c r="H37" s="23"/>
      <c r="I37" s="23"/>
      <c r="J37" s="23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5"/>
    </row>
    <row r="38" ht="16.5" customHeight="1" hidden="1"/>
    <row r="39" ht="2.25" customHeight="1" hidden="1"/>
    <row r="40" ht="12.75" hidden="1"/>
    <row r="41" ht="12.75" hidden="1"/>
    <row r="42" ht="13.5" customHeight="1">
      <c r="B42" t="s">
        <v>71</v>
      </c>
    </row>
    <row r="46" ht="12.75" customHeight="1"/>
    <row r="47" ht="12.75" customHeight="1"/>
  </sheetData>
  <sheetProtection/>
  <mergeCells count="5">
    <mergeCell ref="B4:X4"/>
    <mergeCell ref="B5:X5"/>
    <mergeCell ref="B3:X3"/>
    <mergeCell ref="B1:M1"/>
    <mergeCell ref="B2:T2"/>
  </mergeCells>
  <printOptions/>
  <pageMargins left="0.24" right="0.24" top="1" bottom="0.24" header="0.5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cp:lastPrinted>2018-02-07T08:05:52Z</cp:lastPrinted>
  <dcterms:created xsi:type="dcterms:W3CDTF">2011-06-16T11:06:26Z</dcterms:created>
  <dcterms:modified xsi:type="dcterms:W3CDTF">2018-02-12T07:34:46Z</dcterms:modified>
  <cp:category/>
  <cp:version/>
  <cp:contentType/>
  <cp:contentStatus/>
</cp:coreProperties>
</file>