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<sst xmlns="http://schemas.openxmlformats.org/spreadsheetml/2006/main" count="82" uniqueCount="82">
  <si>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</si>
  <si>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</si>
  <si>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</si>
  <si>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</si>
  <si>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</si>
  <si>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</si>
  <si>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</si>
  <si>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</si>
  <si>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</si>
  <si>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</si>
  <si>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</si>
  <si>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</si>
  <si>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</si>
  <si>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</si>
  <si>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</si>
  <si>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</si>
  <si>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</si>
  <si>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</si>
  <si>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</si>
  <si>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</si>
  <si>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</si>
  <si>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</si>
  <si>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</si>
  <si>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</si>
  <si>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</si>
  <si>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</si>
  <si>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</si>
  <si>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</si>
  <si>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</si>
  <si>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</si>
  <si>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</si>
  <si>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</si>
  <si>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</si>
  <si>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</si>
  <si>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</si>
  <si>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</si>
  <si>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</si>
  <si>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</si>
  <si>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</si>
  <si>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</si>
  <si>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</si>
  <si>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</si>
  <si>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</si>
  <si>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</si>
  <si>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</si>
  <si>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</si>
  <si>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</si>
  <si>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</si>
  <si>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ул. Ленина д.6</t>
  </si>
  <si>
    <t>за 2009 г</t>
  </si>
  <si>
    <t>за 2010 г</t>
  </si>
  <si>
    <t>10</t>
  </si>
  <si>
    <t>Финансовый результат по дому с начала года</t>
  </si>
  <si>
    <t>Итого за 2011 г</t>
  </si>
  <si>
    <t>11</t>
  </si>
  <si>
    <t>Проверка дымовых каналов</t>
  </si>
  <si>
    <t>Результат за месяц</t>
  </si>
  <si>
    <t>Итого за 2012 г</t>
  </si>
  <si>
    <t>Благоустройство территории</t>
  </si>
  <si>
    <t>4.12</t>
  </si>
  <si>
    <t>4.13</t>
  </si>
  <si>
    <t>4.14</t>
  </si>
  <si>
    <t xml:space="preserve">%  оплаты </t>
  </si>
  <si>
    <t>Итого за 2013 г</t>
  </si>
  <si>
    <t>Дом по ул.Ленина д.6 вступил в ООО "Наш дом" с ноября 2009 года                                               тариф 9,2 руб</t>
  </si>
  <si>
    <t>Итого за 2014 г</t>
  </si>
  <si>
    <t>рентабельность 5%</t>
  </si>
  <si>
    <t xml:space="preserve">Материалы </t>
  </si>
  <si>
    <t>Итого за 2015 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</si>
  <si>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</si>
  <si>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</si>
  <si>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</si>
  <si>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Л.С../</t>
  </si>
  <si>
    <t>Итого за 2016 г</t>
  </si>
  <si>
    <t>Итого за 2017 г</t>
  </si>
  <si>
    <t>Всего за 2009-2017</t>
  </si>
  <si>
    <t>Начислено   СОИД</t>
  </si>
  <si>
    <t>Электроэнергия  СОИД</t>
  </si>
  <si>
    <t>Холодная вода СОИД</t>
  </si>
  <si>
    <t>Канализация СОИД</t>
  </si>
  <si>
    <t>Дератизация</t>
  </si>
  <si>
    <t>Транспортные(ГСМ,зап.части,амортизация,страхование)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</si>
</sst>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9" xfId="0" applyFont="1" applyBorder="1" applyAlignment="1">
      <alignment horizontal="left" vertical="center" wrapText="1"/>
    </xf>
    <xf numFmtId="0" fontId="24" fillId="0" borderId="30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0" fontId="21" fillId="0" borderId="31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21" fillId="0" borderId="30" xfId="0" applyNumberFormat="1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2" borderId="33" xfId="0" applyFont="1" applyFill="1" applyBorder="1" applyAlignment="1">
      <alignment wrapText="1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28" xfId="0" applyFont="1" applyBorder="1" applyAlignment="1">
      <alignment horizontal="left" vertical="center" wrapText="1"/>
    </xf>
    <xf numFmtId="0" fontId="21" fillId="0" borderId="28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1" fontId="21" fillId="0" borderId="39" xfId="0" applyNumberFormat="1" applyFont="1" applyBorder="1" applyAlignment="1">
      <alignment horizontal="center"/>
    </xf>
    <xf numFmtId="0" fontId="23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9" xfId="0" applyBorder="1" applyAlignment="1">
      <alignment/>
    </xf>
    <xf numFmtId="0" fontId="0" fillId="2" borderId="29" xfId="0" applyFill="1" applyBorder="1" applyAlignment="1">
      <alignment/>
    </xf>
    <xf numFmtId="0" fontId="19" fillId="0" borderId="28" xfId="0" applyFont="1" applyBorder="1" applyAlignment="1">
      <alignment horizontal="center" vertical="center" wrapText="1"/>
    </xf>
    <xf numFmtId="0" fontId="21" fillId="0" borderId="27" xfId="0" applyFont="1" applyBorder="1" applyAlignment="1">
      <alignment/>
    </xf>
    <xf numFmtId="1" fontId="21" fillId="0" borderId="35" xfId="0" applyNumberFormat="1" applyFont="1" applyBorder="1" applyAlignment="1">
      <alignment horizontal="center"/>
    </xf>
    <xf numFmtId="0" fontId="21" fillId="0" borderId="28" xfId="0" applyFont="1" applyBorder="1" applyAlignment="1">
      <alignment/>
    </xf>
    <xf numFmtId="0" fontId="21" fillId="0" borderId="43" xfId="0" applyFont="1" applyBorder="1" applyAlignment="1">
      <alignment/>
    </xf>
    <xf numFmtId="0" fontId="20" fillId="2" borderId="37" xfId="0" applyFont="1" applyFill="1" applyBorder="1" applyAlignment="1">
      <alignment/>
    </xf>
    <xf numFmtId="0" fontId="25" fillId="0" borderId="34" xfId="0" applyFont="1" applyBorder="1" applyAlignment="1">
      <alignment/>
    </xf>
    <xf numFmtId="1" fontId="20" fillId="0" borderId="35" xfId="0" applyNumberFormat="1" applyFont="1" applyBorder="1" applyAlignment="1">
      <alignment horizontal="center"/>
    </xf>
    <xf numFmtId="0" fontId="21" fillId="0" borderId="29" xfId="0" applyFont="1" applyBorder="1" applyAlignment="1">
      <alignment wrapText="1"/>
    </xf>
    <xf numFmtId="49" fontId="0" fillId="0" borderId="37" xfId="0" applyNumberFormat="1" applyBorder="1" applyAlignment="1">
      <alignment horizontal="center"/>
    </xf>
    <xf numFmtId="0" fontId="21" fillId="0" borderId="42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0" fontId="25" fillId="0" borderId="41" xfId="0" applyFont="1" applyBorder="1" applyAlignment="1">
      <alignment/>
    </xf>
    <xf numFmtId="0" fontId="26" fillId="0" borderId="38" xfId="0" applyFont="1" applyBorder="1" applyAlignment="1">
      <alignment wrapText="1"/>
    </xf>
    <xf numFmtId="0" fontId="26" fillId="0" borderId="34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26" fillId="0" borderId="35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0" fontId="26" fillId="0" borderId="45" xfId="0" applyFont="1" applyBorder="1" applyAlignment="1">
      <alignment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28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 horizontal="right" wrapText="1"/>
    </xf>
    <xf numFmtId="2" fontId="21" fillId="0" borderId="49" xfId="0" applyNumberFormat="1" applyFont="1" applyBorder="1" applyAlignment="1">
      <alignment/>
    </xf>
    <xf numFmtId="2" fontId="21" fillId="0" borderId="28" xfId="0" applyNumberFormat="1" applyFont="1" applyBorder="1" applyAlignment="1">
      <alignment/>
    </xf>
    <xf numFmtId="2" fontId="21" fillId="0" borderId="5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6" fillId="0" borderId="27" xfId="0" applyFont="1" applyBorder="1" applyAlignment="1">
      <alignment wrapText="1"/>
    </xf>
    <xf numFmtId="2" fontId="21" fillId="0" borderId="37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49" fontId="0" fillId="0" borderId="51" xfId="0" applyNumberFormat="1" applyBorder="1" applyAlignment="1">
      <alignment horizontal="center"/>
    </xf>
    <xf numFmtId="2" fontId="21" fillId="0" borderId="52" xfId="0" applyNumberFormat="1" applyFont="1" applyBorder="1" applyAlignment="1">
      <alignment/>
    </xf>
    <xf numFmtId="49" fontId="0" fillId="0" borderId="27" xfId="0" applyNumberForma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37" xfId="0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49" fontId="0" fillId="0" borderId="28" xfId="0" applyNumberFormat="1" applyBorder="1" applyAlignment="1">
      <alignment horizontal="center"/>
    </xf>
    <xf numFmtId="2" fontId="21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0">
      <selection activeCell="O42" sqref="O42"/>
    </sheetView>
  </sheetViews>
  <sheetFormatPr defaultColWidth="9.00390625" defaultRowHeight="12.75"/>
  <cols>
    <col min="1" max="1" width="3.625" style="30" customWidth="1"/>
    <col min="2" max="2" width="22.25390625" style="0" customWidth="1"/>
    <col min="3" max="3" width="6.875" style="0" hidden="1" customWidth="1"/>
    <col min="4" max="4" width="7.375" style="0" hidden="1" customWidth="1"/>
    <col min="5" max="5" width="7.625" style="0" hidden="1" customWidth="1"/>
    <col min="6" max="6" width="10.125" style="0" hidden="1" customWidth="1"/>
    <col min="7" max="7" width="9.875" style="0" hidden="1" customWidth="1"/>
    <col min="8" max="8" width="10.00390625" style="0" hidden="1" customWidth="1"/>
    <col min="9" max="9" width="10.125" style="0" hidden="1" customWidth="1"/>
    <col min="10" max="10" width="9.25390625" style="0" hidden="1" customWidth="1"/>
    <col min="11" max="11" width="8.375" style="0" customWidth="1"/>
    <col min="12" max="12" width="9.25390625" style="0" customWidth="1"/>
    <col min="13" max="13" width="8.00390625" style="0" customWidth="1"/>
    <col min="14" max="14" width="8.375" style="0" customWidth="1"/>
    <col min="15" max="15" width="8.25390625" style="0" customWidth="1"/>
    <col min="16" max="17" width="8.625" style="0" customWidth="1"/>
    <col min="18" max="18" width="8.25390625" style="0" customWidth="1"/>
    <col min="19" max="19" width="8.00390625" style="0" customWidth="1"/>
    <col min="20" max="20" width="7.75390625" style="0" customWidth="1"/>
    <col min="21" max="21" width="8.375" style="0" customWidth="1"/>
    <col min="22" max="22" width="8.75390625" style="0" customWidth="1"/>
    <col min="23" max="23" width="12.00390625" style="0" customWidth="1"/>
    <col min="24" max="24" width="9.875" style="0" hidden="1" customWidth="1"/>
  </cols>
  <sheetData>
    <row r="1" spans="2:29" ht="12.75" customHeight="1">
      <c r="B1" s="100" t="s">
        <v>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100" t="s">
        <v>64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4"/>
      <c r="V2" s="4"/>
      <c r="W2" s="4"/>
      <c r="X2" s="4"/>
      <c r="Y2" s="4"/>
      <c r="Z2" s="4"/>
      <c r="AA2" s="4"/>
      <c r="AB2" s="4"/>
      <c r="AC2" s="4"/>
    </row>
    <row r="3" spans="2:29" ht="12.75" customHeight="1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3"/>
      <c r="Z3" s="3"/>
      <c r="AA3" s="3"/>
      <c r="AB3" s="3"/>
      <c r="AC3" s="3"/>
    </row>
    <row r="4" spans="2:29" ht="15.75" customHeight="1">
      <c r="B4" s="98" t="s">
        <v>11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2"/>
      <c r="Z4" s="2"/>
      <c r="AA4" s="2"/>
      <c r="AB4" s="2"/>
      <c r="AC4" s="2"/>
    </row>
    <row r="5" spans="2:29" ht="16.5" customHeight="1" thickBot="1">
      <c r="B5" s="98" t="s">
        <v>48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2"/>
      <c r="Z5" s="2"/>
      <c r="AA5" s="2"/>
      <c r="AB5" s="2"/>
      <c r="AC5" s="2"/>
    </row>
    <row r="6" spans="1:29" ht="24.75" customHeight="1" thickBot="1">
      <c r="A6" s="41" t="s">
        <v>28</v>
      </c>
      <c r="B6" s="31" t="s">
        <v>7</v>
      </c>
      <c r="C6" s="44" t="s">
        <v>49</v>
      </c>
      <c r="D6" s="48" t="s">
        <v>50</v>
      </c>
      <c r="E6" s="65" t="s">
        <v>53</v>
      </c>
      <c r="F6" s="65" t="s">
        <v>57</v>
      </c>
      <c r="G6" s="65" t="s">
        <v>63</v>
      </c>
      <c r="H6" s="65" t="s">
        <v>65</v>
      </c>
      <c r="I6" s="65" t="s">
        <v>68</v>
      </c>
      <c r="J6" s="65" t="s">
        <v>73</v>
      </c>
      <c r="K6" s="6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23</v>
      </c>
      <c r="V6" s="16" t="s">
        <v>22</v>
      </c>
      <c r="W6" s="65" t="s">
        <v>74</v>
      </c>
      <c r="X6" s="59" t="s">
        <v>75</v>
      </c>
      <c r="Y6" s="1"/>
      <c r="Z6" s="1"/>
      <c r="AA6" s="1"/>
      <c r="AB6" s="1"/>
      <c r="AC6" s="1"/>
    </row>
    <row r="7" spans="1:24" ht="13.5" thickBot="1">
      <c r="A7" s="42" t="s">
        <v>29</v>
      </c>
      <c r="B7" s="32" t="s">
        <v>1</v>
      </c>
      <c r="C7" s="79">
        <v>10138.4</v>
      </c>
      <c r="D7" s="80">
        <v>60830.4</v>
      </c>
      <c r="E7" s="83">
        <v>60710.8</v>
      </c>
      <c r="F7" s="80">
        <v>60449.52</v>
      </c>
      <c r="G7" s="80">
        <v>60214.92</v>
      </c>
      <c r="H7" s="96">
        <v>60179.04</v>
      </c>
      <c r="I7" s="80">
        <v>60179.04</v>
      </c>
      <c r="J7" s="80">
        <v>60179.04</v>
      </c>
      <c r="K7" s="7">
        <v>5014.92</v>
      </c>
      <c r="L7" s="8">
        <v>5014.92</v>
      </c>
      <c r="M7" s="8">
        <v>5014.92</v>
      </c>
      <c r="N7" s="8">
        <v>5014.92</v>
      </c>
      <c r="O7" s="8">
        <v>5014.92</v>
      </c>
      <c r="P7" s="8">
        <v>5014.92</v>
      </c>
      <c r="Q7" s="8">
        <v>5014.92</v>
      </c>
      <c r="R7" s="8">
        <v>5014.92</v>
      </c>
      <c r="S7" s="8">
        <v>5014.92</v>
      </c>
      <c r="T7" s="8">
        <v>5014.92</v>
      </c>
      <c r="U7" s="8">
        <v>5014.92</v>
      </c>
      <c r="V7" s="17">
        <v>5014.92</v>
      </c>
      <c r="W7" s="66">
        <f>SUM(K7:V7)</f>
        <v>60179.039999999986</v>
      </c>
      <c r="X7" s="71">
        <f>SUM(C7:V7)</f>
        <v>493060.1999999997</v>
      </c>
    </row>
    <row r="8" spans="1:24" ht="12.75">
      <c r="A8" s="42"/>
      <c r="B8" s="32" t="s">
        <v>76</v>
      </c>
      <c r="C8" s="79"/>
      <c r="D8" s="96"/>
      <c r="E8" s="83"/>
      <c r="F8" s="96"/>
      <c r="G8" s="96"/>
      <c r="H8" s="96"/>
      <c r="I8" s="96"/>
      <c r="J8" s="96">
        <v>0</v>
      </c>
      <c r="K8" s="7">
        <f>276.01+13.14</f>
        <v>289.15</v>
      </c>
      <c r="L8" s="8">
        <f>276.01+13.14</f>
        <v>289.15</v>
      </c>
      <c r="M8" s="8">
        <f>276.01+13.14</f>
        <v>289.15</v>
      </c>
      <c r="N8" s="8">
        <f>276.01+14.13</f>
        <v>290.14</v>
      </c>
      <c r="O8" s="8">
        <f>276.01+14.13</f>
        <v>290.14</v>
      </c>
      <c r="P8" s="8">
        <f>190.44+27.38+23.82</f>
        <v>241.64</v>
      </c>
      <c r="Q8" s="8">
        <f aca="true" t="shared" si="0" ref="Q8:V8">199.75+27.63+24.41</f>
        <v>251.79</v>
      </c>
      <c r="R8" s="8">
        <f t="shared" si="0"/>
        <v>251.79</v>
      </c>
      <c r="S8" s="8">
        <f t="shared" si="0"/>
        <v>251.79</v>
      </c>
      <c r="T8" s="8">
        <f t="shared" si="0"/>
        <v>251.79</v>
      </c>
      <c r="U8" s="8">
        <f t="shared" si="0"/>
        <v>251.79</v>
      </c>
      <c r="V8" s="17">
        <f t="shared" si="0"/>
        <v>251.79</v>
      </c>
      <c r="W8" s="66">
        <f>SUM(K8:V8)</f>
        <v>3200.1099999999997</v>
      </c>
      <c r="X8" s="71">
        <f>SUM(C8:V8)</f>
        <v>3200.1099999999997</v>
      </c>
    </row>
    <row r="9" spans="1:24" ht="12.75">
      <c r="A9" s="42" t="s">
        <v>30</v>
      </c>
      <c r="B9" s="33" t="s">
        <v>2</v>
      </c>
      <c r="C9" s="81">
        <v>3504.02</v>
      </c>
      <c r="D9" s="82">
        <v>53492.11</v>
      </c>
      <c r="E9" s="84">
        <v>52222.72</v>
      </c>
      <c r="F9" s="82">
        <v>52894.62</v>
      </c>
      <c r="G9" s="82">
        <v>62669.24</v>
      </c>
      <c r="H9" s="82">
        <v>56690.92</v>
      </c>
      <c r="I9" s="82">
        <v>52429.88</v>
      </c>
      <c r="J9" s="82">
        <v>52141.92</v>
      </c>
      <c r="K9" s="9">
        <v>4345.16</v>
      </c>
      <c r="L9" s="10">
        <v>4008.72</v>
      </c>
      <c r="M9" s="10">
        <v>5199.89</v>
      </c>
      <c r="N9" s="10">
        <v>4581.04</v>
      </c>
      <c r="O9" s="10">
        <v>4596.55</v>
      </c>
      <c r="P9" s="10">
        <v>4596.55</v>
      </c>
      <c r="Q9" s="10">
        <v>5736.8</v>
      </c>
      <c r="R9" s="10">
        <v>4104.31</v>
      </c>
      <c r="S9" s="10">
        <v>5001.01</v>
      </c>
      <c r="T9" s="10">
        <v>16514.86</v>
      </c>
      <c r="U9" s="10">
        <v>3998.39</v>
      </c>
      <c r="V9" s="18">
        <v>4560.15</v>
      </c>
      <c r="W9" s="66">
        <f>SUM(K9:V9)</f>
        <v>67243.43</v>
      </c>
      <c r="X9" s="28">
        <f>SUM(C9:V9)</f>
        <v>453288.8599999999</v>
      </c>
    </row>
    <row r="10" spans="1:24" ht="15" customHeight="1" thickBot="1">
      <c r="A10" s="42" t="s">
        <v>31</v>
      </c>
      <c r="B10" s="34" t="s">
        <v>62</v>
      </c>
      <c r="C10" s="58">
        <f aca="true" t="shared" si="1" ref="C10:K10">SUM(C9/C7*100)</f>
        <v>34.561863804939634</v>
      </c>
      <c r="D10" s="67">
        <f t="shared" si="1"/>
        <v>87.93647584102685</v>
      </c>
      <c r="E10" s="58">
        <f t="shared" si="1"/>
        <v>86.0188302575489</v>
      </c>
      <c r="F10" s="67">
        <f t="shared" si="1"/>
        <v>87.50213401198224</v>
      </c>
      <c r="G10" s="67">
        <f t="shared" si="1"/>
        <v>104.07593334010907</v>
      </c>
      <c r="H10" s="67">
        <f t="shared" si="1"/>
        <v>94.20376263895203</v>
      </c>
      <c r="I10" s="67">
        <f>SUM(I9/I7*100)</f>
        <v>87.12315783036752</v>
      </c>
      <c r="J10" s="67">
        <f>SUM(J9/J7*100)</f>
        <v>86.64465235736562</v>
      </c>
      <c r="K10" s="22">
        <f t="shared" si="1"/>
        <v>86.64465235736562</v>
      </c>
      <c r="L10" s="22">
        <f aca="true" t="shared" si="2" ref="L10:V10">SUM(L9/L7*100)</f>
        <v>79.93587135986216</v>
      </c>
      <c r="M10" s="22">
        <f t="shared" si="2"/>
        <v>103.68839383280293</v>
      </c>
      <c r="N10" s="22">
        <f t="shared" si="2"/>
        <v>91.34821692070861</v>
      </c>
      <c r="O10" s="22">
        <f t="shared" si="2"/>
        <v>91.65749403779124</v>
      </c>
      <c r="P10" s="22">
        <f t="shared" si="2"/>
        <v>91.65749403779124</v>
      </c>
      <c r="Q10" s="22">
        <f t="shared" si="2"/>
        <v>114.39464637521635</v>
      </c>
      <c r="R10" s="22">
        <f t="shared" si="2"/>
        <v>81.84198352117282</v>
      </c>
      <c r="S10" s="22">
        <f t="shared" si="2"/>
        <v>99.72262767900585</v>
      </c>
      <c r="T10" s="22">
        <f t="shared" si="2"/>
        <v>329.3145254560392</v>
      </c>
      <c r="U10" s="22">
        <f t="shared" si="2"/>
        <v>79.72988602011597</v>
      </c>
      <c r="V10" s="58">
        <f t="shared" si="2"/>
        <v>90.93165992677848</v>
      </c>
      <c r="W10" s="72">
        <f>SUM(W9/W7*100)</f>
        <v>111.7389542937209</v>
      </c>
      <c r="X10" s="72">
        <f>SUM(X9/X7*100)</f>
        <v>91.93377603789561</v>
      </c>
    </row>
    <row r="11" spans="1:24" ht="13.5" thickBot="1">
      <c r="A11" s="42" t="s">
        <v>32</v>
      </c>
      <c r="B11" s="35" t="s">
        <v>3</v>
      </c>
      <c r="C11" s="19">
        <v>5371.85</v>
      </c>
      <c r="D11" s="68">
        <f aca="true" t="shared" si="3" ref="D11:K11">SUM(D12:D26)</f>
        <v>51449.52999999999</v>
      </c>
      <c r="E11" s="19">
        <f t="shared" si="3"/>
        <v>84261.52</v>
      </c>
      <c r="F11" s="68">
        <f t="shared" si="3"/>
        <v>48708.96000000001</v>
      </c>
      <c r="G11" s="68">
        <f t="shared" si="3"/>
        <v>65740.89</v>
      </c>
      <c r="H11" s="68">
        <f t="shared" si="3"/>
        <v>52035.020000000004</v>
      </c>
      <c r="I11" s="68">
        <f>SUM(I12:I26)</f>
        <v>50988.25</v>
      </c>
      <c r="J11" s="68">
        <f>SUM(J12:J26)</f>
        <v>55777.1</v>
      </c>
      <c r="K11" s="13">
        <f t="shared" si="3"/>
        <v>4535.879999999999</v>
      </c>
      <c r="L11" s="13">
        <f aca="true" t="shared" si="4" ref="L11:V11">SUM(L12:L26)</f>
        <v>4544.31</v>
      </c>
      <c r="M11" s="13">
        <f t="shared" si="4"/>
        <v>4500.840000000001</v>
      </c>
      <c r="N11" s="13">
        <f t="shared" si="4"/>
        <v>4481.59</v>
      </c>
      <c r="O11" s="13">
        <f t="shared" si="4"/>
        <v>5160.89</v>
      </c>
      <c r="P11" s="13">
        <f t="shared" si="4"/>
        <v>4802.25</v>
      </c>
      <c r="Q11" s="13">
        <f t="shared" si="4"/>
        <v>4850.49</v>
      </c>
      <c r="R11" s="13">
        <f t="shared" si="4"/>
        <v>4732.73</v>
      </c>
      <c r="S11" s="13">
        <f t="shared" si="4"/>
        <v>4607.750000000001</v>
      </c>
      <c r="T11" s="13">
        <f t="shared" si="4"/>
        <v>5552.68</v>
      </c>
      <c r="U11" s="13">
        <f t="shared" si="4"/>
        <v>4675.51</v>
      </c>
      <c r="V11" s="19">
        <f t="shared" si="4"/>
        <v>4912.13</v>
      </c>
      <c r="W11" s="68">
        <f>SUM(K11:V11)</f>
        <v>57357.049999999996</v>
      </c>
      <c r="X11" s="29">
        <f>SUM(C11:V11)</f>
        <v>471690.17000000004</v>
      </c>
    </row>
    <row r="12" spans="1:24" ht="13.5" thickBot="1">
      <c r="A12" s="42" t="s">
        <v>33</v>
      </c>
      <c r="B12" s="36" t="s">
        <v>5</v>
      </c>
      <c r="C12" s="52"/>
      <c r="D12" s="53">
        <v>12324.6</v>
      </c>
      <c r="E12" s="85">
        <v>8878.64</v>
      </c>
      <c r="F12" s="53">
        <v>8188.1</v>
      </c>
      <c r="G12" s="53">
        <v>13377.04</v>
      </c>
      <c r="H12" s="53">
        <v>12283.27</v>
      </c>
      <c r="I12" s="53">
        <v>11229.85</v>
      </c>
      <c r="J12" s="53">
        <v>10706.58</v>
      </c>
      <c r="K12" s="7">
        <f>848+10.25</f>
        <v>858.25</v>
      </c>
      <c r="L12" s="8">
        <f>848+48.18</f>
        <v>896.18</v>
      </c>
      <c r="M12" s="8">
        <f>848+28.29</f>
        <v>876.29</v>
      </c>
      <c r="N12" s="8">
        <f>848+89.66</f>
        <v>937.66</v>
      </c>
      <c r="O12" s="8">
        <f>848+44.76</f>
        <v>892.76</v>
      </c>
      <c r="P12" s="8">
        <f>848+27.36</f>
        <v>875.36</v>
      </c>
      <c r="Q12" s="8">
        <f>901+45.63</f>
        <v>946.63</v>
      </c>
      <c r="R12" s="8">
        <f>901+53.06</f>
        <v>954.06</v>
      </c>
      <c r="S12" s="8">
        <f>901+54.88</f>
        <v>955.88</v>
      </c>
      <c r="T12" s="8">
        <f>901+57.05</f>
        <v>958.05</v>
      </c>
      <c r="U12" s="8">
        <f>901+49.86</f>
        <v>950.86</v>
      </c>
      <c r="V12" s="17">
        <f>901+49.95</f>
        <v>950.95</v>
      </c>
      <c r="W12" s="68">
        <f aca="true" t="shared" si="5" ref="W12:W28">SUM(K12:V12)</f>
        <v>11052.929999999998</v>
      </c>
      <c r="X12" s="29">
        <f aca="true" t="shared" si="6" ref="X12:X26">SUM(C12:V12)</f>
        <v>88041.01</v>
      </c>
    </row>
    <row r="13" spans="1:24" ht="15" customHeight="1" thickBot="1">
      <c r="A13" s="42" t="s">
        <v>34</v>
      </c>
      <c r="B13" s="37" t="s">
        <v>69</v>
      </c>
      <c r="C13" s="54"/>
      <c r="D13" s="55">
        <v>15102</v>
      </c>
      <c r="E13" s="86">
        <v>5545.13</v>
      </c>
      <c r="F13" s="55">
        <v>95.26</v>
      </c>
      <c r="G13" s="55">
        <v>2867.92</v>
      </c>
      <c r="H13" s="55">
        <v>1626.63</v>
      </c>
      <c r="I13" s="55">
        <v>2254.61</v>
      </c>
      <c r="J13" s="55">
        <v>27.36</v>
      </c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8">
        <v>220.45</v>
      </c>
      <c r="W13" s="68">
        <f t="shared" si="5"/>
        <v>220.45</v>
      </c>
      <c r="X13" s="29">
        <f t="shared" si="6"/>
        <v>27739.36</v>
      </c>
    </row>
    <row r="14" spans="1:24" ht="15" customHeight="1" thickBot="1">
      <c r="A14" s="42" t="s">
        <v>35</v>
      </c>
      <c r="B14" s="34" t="s">
        <v>6</v>
      </c>
      <c r="C14" s="54"/>
      <c r="D14" s="55">
        <v>1082.12</v>
      </c>
      <c r="E14" s="86">
        <v>0</v>
      </c>
      <c r="F14" s="55">
        <v>0</v>
      </c>
      <c r="G14" s="55">
        <v>3354.74</v>
      </c>
      <c r="H14" s="55"/>
      <c r="I14" s="55">
        <v>0</v>
      </c>
      <c r="J14" s="55">
        <v>3798.5</v>
      </c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8"/>
      <c r="W14" s="68">
        <f t="shared" si="5"/>
        <v>0</v>
      </c>
      <c r="X14" s="29">
        <f t="shared" si="6"/>
        <v>8235.36</v>
      </c>
    </row>
    <row r="15" spans="1:24" ht="18" customHeight="1" thickBot="1">
      <c r="A15" s="42" t="s">
        <v>36</v>
      </c>
      <c r="B15" s="34" t="s">
        <v>55</v>
      </c>
      <c r="C15" s="54">
        <v>0</v>
      </c>
      <c r="D15" s="55">
        <v>0</v>
      </c>
      <c r="E15" s="86">
        <v>690.41</v>
      </c>
      <c r="F15" s="55">
        <v>0</v>
      </c>
      <c r="G15" s="55">
        <v>0</v>
      </c>
      <c r="H15" s="55"/>
      <c r="I15" s="55">
        <v>1000</v>
      </c>
      <c r="J15" s="55">
        <v>400</v>
      </c>
      <c r="K15" s="9"/>
      <c r="L15" s="10"/>
      <c r="M15" s="10"/>
      <c r="N15" s="10"/>
      <c r="O15" s="10"/>
      <c r="P15" s="10"/>
      <c r="Q15" s="10"/>
      <c r="R15" s="10"/>
      <c r="S15" s="10"/>
      <c r="T15" s="10">
        <v>500</v>
      </c>
      <c r="U15" s="10"/>
      <c r="V15" s="18"/>
      <c r="W15" s="68">
        <f t="shared" si="5"/>
        <v>500</v>
      </c>
      <c r="X15" s="29">
        <f t="shared" si="6"/>
        <v>2590.41</v>
      </c>
    </row>
    <row r="16" spans="1:24" ht="14.25" customHeight="1" thickBot="1">
      <c r="A16" s="42" t="s">
        <v>37</v>
      </c>
      <c r="B16" s="37" t="s">
        <v>67</v>
      </c>
      <c r="C16" s="54"/>
      <c r="D16" s="55">
        <v>2132.3</v>
      </c>
      <c r="E16" s="86">
        <v>33065.38</v>
      </c>
      <c r="F16" s="55">
        <v>1484.18</v>
      </c>
      <c r="G16" s="55">
        <v>6968.08</v>
      </c>
      <c r="H16" s="55">
        <v>115.61</v>
      </c>
      <c r="I16" s="55">
        <v>748.69</v>
      </c>
      <c r="J16" s="55">
        <v>1056.17</v>
      </c>
      <c r="K16" s="9"/>
      <c r="L16" s="10">
        <v>72</v>
      </c>
      <c r="M16" s="10"/>
      <c r="N16" s="10"/>
      <c r="O16" s="10">
        <v>150</v>
      </c>
      <c r="P16" s="10">
        <v>300</v>
      </c>
      <c r="Q16" s="10"/>
      <c r="R16" s="10">
        <v>95</v>
      </c>
      <c r="S16" s="10">
        <v>30</v>
      </c>
      <c r="T16" s="10"/>
      <c r="U16" s="10"/>
      <c r="V16" s="18"/>
      <c r="W16" s="68">
        <f t="shared" si="5"/>
        <v>647</v>
      </c>
      <c r="X16" s="29">
        <f t="shared" si="6"/>
        <v>46217.41</v>
      </c>
    </row>
    <row r="17" spans="1:24" ht="20.25" customHeight="1" thickBot="1">
      <c r="A17" s="42" t="s">
        <v>38</v>
      </c>
      <c r="B17" s="37" t="s">
        <v>58</v>
      </c>
      <c r="C17" s="54">
        <v>0</v>
      </c>
      <c r="D17" s="55">
        <v>0</v>
      </c>
      <c r="E17" s="86">
        <v>0</v>
      </c>
      <c r="F17" s="55">
        <v>256</v>
      </c>
      <c r="G17" s="55">
        <v>0</v>
      </c>
      <c r="H17" s="55">
        <v>7.76</v>
      </c>
      <c r="I17" s="55">
        <v>2052.96</v>
      </c>
      <c r="J17" s="55">
        <v>186</v>
      </c>
      <c r="K17" s="9">
        <v>8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8">
        <v>41.62</v>
      </c>
      <c r="W17" s="68">
        <f>SUM(K17:V17)</f>
        <v>49.62</v>
      </c>
      <c r="X17" s="29">
        <f>SUM(C17:V17)</f>
        <v>2552.34</v>
      </c>
    </row>
    <row r="18" spans="1:24" ht="12" customHeight="1" thickBot="1">
      <c r="A18" s="42" t="s">
        <v>39</v>
      </c>
      <c r="B18" s="37" t="s">
        <v>77</v>
      </c>
      <c r="C18" s="54"/>
      <c r="D18" s="55">
        <v>2664.21</v>
      </c>
      <c r="E18" s="86">
        <v>2926.93</v>
      </c>
      <c r="F18" s="55">
        <v>1657.55</v>
      </c>
      <c r="G18" s="55">
        <v>0</v>
      </c>
      <c r="H18" s="55"/>
      <c r="I18" s="55">
        <v>0</v>
      </c>
      <c r="J18" s="55">
        <v>0</v>
      </c>
      <c r="K18" s="9">
        <v>276.01</v>
      </c>
      <c r="L18" s="10">
        <v>276.01</v>
      </c>
      <c r="M18" s="10">
        <v>276.01</v>
      </c>
      <c r="N18" s="10">
        <v>276.01</v>
      </c>
      <c r="O18" s="10">
        <v>276.01</v>
      </c>
      <c r="P18" s="10">
        <v>190.44</v>
      </c>
      <c r="Q18" s="10">
        <v>199.75</v>
      </c>
      <c r="R18" s="10">
        <v>199.75</v>
      </c>
      <c r="S18" s="10">
        <v>199.75</v>
      </c>
      <c r="T18" s="10">
        <v>199.75</v>
      </c>
      <c r="U18" s="10">
        <v>199.75</v>
      </c>
      <c r="V18" s="18">
        <v>199.75</v>
      </c>
      <c r="W18" s="68">
        <f t="shared" si="5"/>
        <v>2768.99</v>
      </c>
      <c r="X18" s="29">
        <f t="shared" si="6"/>
        <v>10017.68</v>
      </c>
    </row>
    <row r="19" spans="1:24" ht="12" customHeight="1" thickBot="1">
      <c r="A19" s="42"/>
      <c r="B19" s="37" t="s">
        <v>78</v>
      </c>
      <c r="C19" s="54"/>
      <c r="D19" s="55"/>
      <c r="E19" s="86"/>
      <c r="F19" s="55"/>
      <c r="G19" s="55"/>
      <c r="H19" s="55"/>
      <c r="I19" s="55"/>
      <c r="J19" s="55"/>
      <c r="K19" s="9"/>
      <c r="L19" s="10"/>
      <c r="M19" s="10"/>
      <c r="N19" s="10"/>
      <c r="O19" s="10">
        <v>56.52</v>
      </c>
      <c r="P19" s="10">
        <v>41.51</v>
      </c>
      <c r="Q19" s="10">
        <v>27.64</v>
      </c>
      <c r="R19" s="10">
        <v>27.64</v>
      </c>
      <c r="S19" s="10">
        <v>27.64</v>
      </c>
      <c r="T19" s="10">
        <v>27.64</v>
      </c>
      <c r="U19" s="10">
        <v>27.64</v>
      </c>
      <c r="V19" s="18">
        <v>27.64</v>
      </c>
      <c r="W19" s="68">
        <f>SUM(K19:V19)</f>
        <v>263.86999999999995</v>
      </c>
      <c r="X19" s="29">
        <f>SUM(C19:V19)</f>
        <v>263.86999999999995</v>
      </c>
    </row>
    <row r="20" spans="1:24" ht="12" customHeight="1" thickBot="1">
      <c r="A20" s="42"/>
      <c r="B20" s="37" t="s">
        <v>79</v>
      </c>
      <c r="C20" s="54"/>
      <c r="D20" s="55"/>
      <c r="E20" s="86"/>
      <c r="F20" s="55"/>
      <c r="G20" s="55"/>
      <c r="H20" s="55"/>
      <c r="I20" s="55"/>
      <c r="J20" s="55"/>
      <c r="K20" s="9"/>
      <c r="L20" s="10"/>
      <c r="M20" s="10"/>
      <c r="N20" s="10"/>
      <c r="O20" s="10"/>
      <c r="P20" s="10">
        <v>23.84</v>
      </c>
      <c r="Q20" s="10">
        <v>24.41</v>
      </c>
      <c r="R20" s="10">
        <v>24.41</v>
      </c>
      <c r="S20" s="10">
        <v>24.41</v>
      </c>
      <c r="T20" s="10">
        <v>24.41</v>
      </c>
      <c r="U20" s="10">
        <v>24.41</v>
      </c>
      <c r="V20" s="18">
        <v>24.41</v>
      </c>
      <c r="W20" s="68">
        <f>SUM(K20:V20)</f>
        <v>170.29999999999998</v>
      </c>
      <c r="X20" s="29">
        <f>SUM(C20:V20)</f>
        <v>170.29999999999998</v>
      </c>
    </row>
    <row r="21" spans="1:24" ht="12" customHeight="1" thickBot="1">
      <c r="A21" s="42" t="s">
        <v>40</v>
      </c>
      <c r="B21" s="37" t="s">
        <v>80</v>
      </c>
      <c r="C21" s="54"/>
      <c r="D21" s="55">
        <v>706.68</v>
      </c>
      <c r="E21" s="86">
        <v>388.73</v>
      </c>
      <c r="F21" s="55">
        <v>339</v>
      </c>
      <c r="G21" s="55">
        <v>295.24</v>
      </c>
      <c r="H21" s="55"/>
      <c r="I21" s="55">
        <v>0</v>
      </c>
      <c r="J21" s="55">
        <v>0</v>
      </c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8"/>
      <c r="W21" s="68">
        <f t="shared" si="5"/>
        <v>0</v>
      </c>
      <c r="X21" s="29">
        <f t="shared" si="6"/>
        <v>1729.6499999999999</v>
      </c>
    </row>
    <row r="22" spans="1:24" ht="25.5" customHeight="1" thickBot="1">
      <c r="A22" s="42" t="s">
        <v>41</v>
      </c>
      <c r="B22" s="37" t="s">
        <v>81</v>
      </c>
      <c r="C22" s="54"/>
      <c r="D22" s="55">
        <v>750.42</v>
      </c>
      <c r="E22" s="86">
        <v>2668.26</v>
      </c>
      <c r="F22" s="55">
        <v>3350.95</v>
      </c>
      <c r="G22" s="55">
        <v>3393.51</v>
      </c>
      <c r="H22" s="55">
        <v>2221.2</v>
      </c>
      <c r="I22" s="55">
        <v>2619.75</v>
      </c>
      <c r="J22" s="55">
        <v>2770.3</v>
      </c>
      <c r="K22" s="9">
        <v>234.55</v>
      </c>
      <c r="L22" s="10">
        <v>219.31</v>
      </c>
      <c r="M22" s="10">
        <v>272.64</v>
      </c>
      <c r="N22" s="10">
        <v>202.63</v>
      </c>
      <c r="O22" s="10">
        <v>215.79</v>
      </c>
      <c r="P22" s="10">
        <v>242.67</v>
      </c>
      <c r="Q22" s="10">
        <v>196.68</v>
      </c>
      <c r="R22" s="10">
        <v>227.49</v>
      </c>
      <c r="S22" s="10">
        <v>213.98</v>
      </c>
      <c r="T22" s="10">
        <v>273.01</v>
      </c>
      <c r="U22" s="10">
        <v>282.4</v>
      </c>
      <c r="V22" s="18">
        <v>233.36</v>
      </c>
      <c r="W22" s="68">
        <f t="shared" si="5"/>
        <v>2814.51</v>
      </c>
      <c r="X22" s="29">
        <f t="shared" si="6"/>
        <v>20588.9</v>
      </c>
    </row>
    <row r="23" spans="1:24" ht="26.25" customHeight="1" thickBot="1">
      <c r="A23" s="42" t="s">
        <v>42</v>
      </c>
      <c r="B23" s="37" t="s">
        <v>70</v>
      </c>
      <c r="C23" s="54"/>
      <c r="D23" s="55">
        <v>1306.42</v>
      </c>
      <c r="E23" s="86">
        <v>1454.33</v>
      </c>
      <c r="F23" s="55">
        <v>434.11</v>
      </c>
      <c r="G23" s="55">
        <v>307.37</v>
      </c>
      <c r="H23" s="55">
        <v>668.17</v>
      </c>
      <c r="I23" s="55">
        <v>451.49</v>
      </c>
      <c r="J23" s="55">
        <v>394.09</v>
      </c>
      <c r="K23" s="9">
        <v>51.54</v>
      </c>
      <c r="L23" s="10">
        <v>15.86</v>
      </c>
      <c r="M23" s="10">
        <v>17.02</v>
      </c>
      <c r="N23" s="10">
        <v>15.74</v>
      </c>
      <c r="O23" s="10">
        <v>15.28</v>
      </c>
      <c r="P23" s="10">
        <v>23.76</v>
      </c>
      <c r="Q23" s="10">
        <v>22.32</v>
      </c>
      <c r="R23" s="10">
        <v>68.71</v>
      </c>
      <c r="S23" s="10">
        <v>16.04</v>
      </c>
      <c r="T23" s="10">
        <v>23.71</v>
      </c>
      <c r="U23" s="10">
        <v>16.03</v>
      </c>
      <c r="V23" s="18">
        <v>21.86</v>
      </c>
      <c r="W23" s="68">
        <f t="shared" si="5"/>
        <v>307.87</v>
      </c>
      <c r="X23" s="29">
        <f t="shared" si="6"/>
        <v>5323.8499999999985</v>
      </c>
    </row>
    <row r="24" spans="1:24" ht="34.5" customHeight="1" thickBot="1">
      <c r="A24" s="42" t="s">
        <v>59</v>
      </c>
      <c r="B24" s="37" t="s">
        <v>71</v>
      </c>
      <c r="C24" s="54"/>
      <c r="D24" s="55">
        <v>1088.95</v>
      </c>
      <c r="E24" s="86">
        <v>2291.09</v>
      </c>
      <c r="F24" s="55">
        <v>2256.63</v>
      </c>
      <c r="G24" s="55">
        <v>3015.46</v>
      </c>
      <c r="H24" s="55">
        <v>2590.95</v>
      </c>
      <c r="I24" s="55">
        <v>3324.38</v>
      </c>
      <c r="J24" s="55">
        <v>2882.7</v>
      </c>
      <c r="K24" s="9">
        <f>10.34+72.01+117.87</f>
        <v>200.22000000000003</v>
      </c>
      <c r="L24" s="10">
        <f>10.29+85.33+72.28</f>
        <v>167.9</v>
      </c>
      <c r="M24" s="10">
        <f>10.14+94.84+126.95</f>
        <v>231.93</v>
      </c>
      <c r="N24" s="10">
        <f>9.57+86.92+122.19</f>
        <v>218.68</v>
      </c>
      <c r="O24" s="10">
        <f>9.83+105.41+298.92</f>
        <v>414.16</v>
      </c>
      <c r="P24" s="10">
        <f>145.24+11.54+86.32</f>
        <v>243.1</v>
      </c>
      <c r="Q24" s="10">
        <f>12.62+75.97+135.63</f>
        <v>224.22</v>
      </c>
      <c r="R24" s="10">
        <f>13.68+70.1+161.66</f>
        <v>245.44</v>
      </c>
      <c r="S24" s="10">
        <f>138.79+11+88.9</f>
        <v>238.69</v>
      </c>
      <c r="T24" s="10">
        <f>14.13+100.47+146.57</f>
        <v>261.16999999999996</v>
      </c>
      <c r="U24" s="10">
        <f>12.97+117.08+231.36</f>
        <v>361.41</v>
      </c>
      <c r="V24" s="18">
        <f>13.36+117.97+98.16</f>
        <v>229.48999999999998</v>
      </c>
      <c r="W24" s="68">
        <f t="shared" si="5"/>
        <v>3036.41</v>
      </c>
      <c r="X24" s="29">
        <f t="shared" si="6"/>
        <v>20486.570000000003</v>
      </c>
    </row>
    <row r="25" spans="1:24" ht="15.75" customHeight="1" thickBot="1">
      <c r="A25" s="42" t="s">
        <v>60</v>
      </c>
      <c r="B25" s="37" t="s">
        <v>10</v>
      </c>
      <c r="C25" s="54"/>
      <c r="D25" s="55">
        <v>12145.72</v>
      </c>
      <c r="E25" s="86">
        <v>22566.37</v>
      </c>
      <c r="F25" s="55">
        <v>28345.52</v>
      </c>
      <c r="G25" s="55">
        <v>29795.14</v>
      </c>
      <c r="H25" s="55">
        <v>30380.81</v>
      </c>
      <c r="I25" s="55">
        <v>25326.8</v>
      </c>
      <c r="J25" s="55">
        <v>31586.55</v>
      </c>
      <c r="K25" s="9">
        <f>4535.88-1792.64</f>
        <v>2743.24</v>
      </c>
      <c r="L25" s="10">
        <f>4344.31-1798.63+200</f>
        <v>2745.6800000000003</v>
      </c>
      <c r="M25" s="10">
        <f>4500.84-1870.24</f>
        <v>2630.6000000000004</v>
      </c>
      <c r="N25" s="10">
        <f>4481.59-1823.7</f>
        <v>2657.8900000000003</v>
      </c>
      <c r="O25" s="10">
        <f>5560.89-2194.08-400</f>
        <v>2966.8100000000004</v>
      </c>
      <c r="P25" s="10">
        <f>5495.87-2807.86</f>
        <v>2688.0099999999998</v>
      </c>
      <c r="Q25" s="10">
        <f>4850.49-1858.27</f>
        <v>2992.22</v>
      </c>
      <c r="R25" s="10">
        <f>4732.73-1997.48</f>
        <v>2735.2499999999995</v>
      </c>
      <c r="S25" s="10">
        <f>3914.13-1201.61</f>
        <v>2712.5200000000004</v>
      </c>
      <c r="T25" s="10">
        <f>5552.68-2891.35</f>
        <v>2661.3300000000004</v>
      </c>
      <c r="U25" s="10">
        <f>4675.51-2013.48</f>
        <v>2662.03</v>
      </c>
      <c r="V25" s="18">
        <f>4712.13-2121.72+200</f>
        <v>2790.4100000000003</v>
      </c>
      <c r="W25" s="68">
        <f t="shared" si="5"/>
        <v>32985.990000000005</v>
      </c>
      <c r="X25" s="29">
        <f t="shared" si="6"/>
        <v>213132.89999999997</v>
      </c>
    </row>
    <row r="26" spans="1:24" ht="13.5" customHeight="1" thickBot="1">
      <c r="A26" s="42" t="s">
        <v>61</v>
      </c>
      <c r="B26" s="38" t="s">
        <v>4</v>
      </c>
      <c r="C26" s="56"/>
      <c r="D26" s="57">
        <v>2146.11</v>
      </c>
      <c r="E26" s="87">
        <v>3786.25</v>
      </c>
      <c r="F26" s="57">
        <v>2301.66</v>
      </c>
      <c r="G26" s="57">
        <v>2366.39</v>
      </c>
      <c r="H26" s="57">
        <v>2140.62</v>
      </c>
      <c r="I26" s="57">
        <v>1979.72</v>
      </c>
      <c r="J26" s="57">
        <v>1968.85</v>
      </c>
      <c r="K26" s="11">
        <v>164.07</v>
      </c>
      <c r="L26" s="12">
        <f>8.28+143.09</f>
        <v>151.37</v>
      </c>
      <c r="M26" s="12">
        <f>10.74+185.61</f>
        <v>196.35000000000002</v>
      </c>
      <c r="N26" s="12">
        <f>9.46+163.52</f>
        <v>172.98000000000002</v>
      </c>
      <c r="O26" s="12">
        <f>9.49+164.07</f>
        <v>173.56</v>
      </c>
      <c r="P26" s="12">
        <f>9.49+164.07</f>
        <v>173.56</v>
      </c>
      <c r="Q26" s="12">
        <f>9.96+206.66</f>
        <v>216.62</v>
      </c>
      <c r="R26" s="12">
        <f>6.64+148.34</f>
        <v>154.98</v>
      </c>
      <c r="S26" s="12">
        <f>9.03+179.81</f>
        <v>188.84</v>
      </c>
      <c r="T26" s="12">
        <f>13.04+610.57</f>
        <v>623.61</v>
      </c>
      <c r="U26" s="12">
        <f>8.2+142.78</f>
        <v>150.98</v>
      </c>
      <c r="V26" s="20">
        <f>8.12+164.07</f>
        <v>172.19</v>
      </c>
      <c r="W26" s="68">
        <f t="shared" si="5"/>
        <v>2539.1099999999997</v>
      </c>
      <c r="X26" s="29">
        <f t="shared" si="6"/>
        <v>19228.709999999995</v>
      </c>
    </row>
    <row r="27" spans="1:24" ht="13.5" customHeight="1" thickBot="1">
      <c r="A27" s="42"/>
      <c r="B27" s="49" t="s">
        <v>66</v>
      </c>
      <c r="C27" s="89"/>
      <c r="D27" s="90"/>
      <c r="E27" s="91"/>
      <c r="F27" s="90"/>
      <c r="G27" s="90"/>
      <c r="H27" s="93">
        <f>H7*5%</f>
        <v>3008.952</v>
      </c>
      <c r="I27" s="93">
        <f>I7*5%</f>
        <v>3008.952</v>
      </c>
      <c r="J27" s="97">
        <f>J7*5%</f>
        <v>3008.952</v>
      </c>
      <c r="K27" s="92">
        <f>K7*5%</f>
        <v>250.746</v>
      </c>
      <c r="L27" s="92">
        <f aca="true" t="shared" si="7" ref="L27:V27">L7*5%</f>
        <v>250.746</v>
      </c>
      <c r="M27" s="92">
        <f t="shared" si="7"/>
        <v>250.746</v>
      </c>
      <c r="N27" s="92">
        <f t="shared" si="7"/>
        <v>250.746</v>
      </c>
      <c r="O27" s="92">
        <f t="shared" si="7"/>
        <v>250.746</v>
      </c>
      <c r="P27" s="92">
        <f t="shared" si="7"/>
        <v>250.746</v>
      </c>
      <c r="Q27" s="92">
        <f t="shared" si="7"/>
        <v>250.746</v>
      </c>
      <c r="R27" s="92">
        <f t="shared" si="7"/>
        <v>250.746</v>
      </c>
      <c r="S27" s="92">
        <f t="shared" si="7"/>
        <v>250.746</v>
      </c>
      <c r="T27" s="92">
        <f t="shared" si="7"/>
        <v>250.746</v>
      </c>
      <c r="U27" s="92">
        <f t="shared" si="7"/>
        <v>250.746</v>
      </c>
      <c r="V27" s="92">
        <f t="shared" si="7"/>
        <v>250.746</v>
      </c>
      <c r="W27" s="93">
        <f t="shared" si="5"/>
        <v>3008.9520000000007</v>
      </c>
      <c r="X27" s="78"/>
    </row>
    <row r="28" spans="1:24" ht="14.25" customHeight="1" thickBot="1">
      <c r="A28" s="101" t="s">
        <v>43</v>
      </c>
      <c r="B28" s="75" t="s">
        <v>56</v>
      </c>
      <c r="C28" s="76"/>
      <c r="D28" s="77"/>
      <c r="E28" s="88"/>
      <c r="F28" s="77"/>
      <c r="G28" s="77"/>
      <c r="H28" s="77"/>
      <c r="I28" s="77"/>
      <c r="J28" s="77"/>
      <c r="K28" s="94">
        <f aca="true" t="shared" si="8" ref="K28:V28">SUM(K7+K8-K11)-K27</f>
        <v>517.4440000000005</v>
      </c>
      <c r="L28" s="94">
        <f t="shared" si="8"/>
        <v>509.0139999999993</v>
      </c>
      <c r="M28" s="94">
        <f t="shared" si="8"/>
        <v>552.4839999999987</v>
      </c>
      <c r="N28" s="94">
        <f t="shared" si="8"/>
        <v>572.7240000000003</v>
      </c>
      <c r="O28" s="94">
        <f t="shared" si="8"/>
        <v>-106.57599999999994</v>
      </c>
      <c r="P28" s="94">
        <f t="shared" si="8"/>
        <v>203.5640000000004</v>
      </c>
      <c r="Q28" s="94">
        <f t="shared" si="8"/>
        <v>165.47400000000025</v>
      </c>
      <c r="R28" s="94">
        <f t="shared" si="8"/>
        <v>283.2340000000005</v>
      </c>
      <c r="S28" s="94">
        <f t="shared" si="8"/>
        <v>408.21399999999915</v>
      </c>
      <c r="T28" s="94">
        <f t="shared" si="8"/>
        <v>-536.7160000000002</v>
      </c>
      <c r="U28" s="94">
        <f t="shared" si="8"/>
        <v>340.45399999999984</v>
      </c>
      <c r="V28" s="94">
        <f t="shared" si="8"/>
        <v>103.83399999999992</v>
      </c>
      <c r="W28" s="102">
        <f t="shared" si="5"/>
        <v>3013.147999999998</v>
      </c>
      <c r="X28" s="78"/>
    </row>
    <row r="29" spans="1:24" ht="24" customHeight="1" thickBot="1">
      <c r="A29" s="108" t="s">
        <v>44</v>
      </c>
      <c r="B29" s="73" t="s">
        <v>24</v>
      </c>
      <c r="C29" s="45">
        <v>4766.55</v>
      </c>
      <c r="D29" s="49">
        <v>9380.87</v>
      </c>
      <c r="E29" s="19">
        <f>SUM(E7-E11)</f>
        <v>-23550.72</v>
      </c>
      <c r="F29" s="68">
        <f>SUM(F7-F11)</f>
        <v>11740.55999999999</v>
      </c>
      <c r="G29" s="68">
        <f>SUM(G7-G11)</f>
        <v>-5525.970000000001</v>
      </c>
      <c r="H29" s="93">
        <f>SUM(H7-H11)-H27</f>
        <v>5135.067999999997</v>
      </c>
      <c r="I29" s="93">
        <f>SUM(I7-I11)-I27</f>
        <v>6181.838000000001</v>
      </c>
      <c r="J29" s="93">
        <f>SUM(J7-J11)-J27</f>
        <v>1392.988000000002</v>
      </c>
      <c r="K29" s="109">
        <f>SUM(K7+K8-K11)-K27</f>
        <v>517.4440000000005</v>
      </c>
      <c r="L29" s="95">
        <f>SUM(L28+K29)</f>
        <v>1026.4579999999999</v>
      </c>
      <c r="M29" s="95">
        <f aca="true" t="shared" si="9" ref="M29:V29">SUM(M28+L29)</f>
        <v>1578.9419999999986</v>
      </c>
      <c r="N29" s="95">
        <f t="shared" si="9"/>
        <v>2151.665999999999</v>
      </c>
      <c r="O29" s="95">
        <f t="shared" si="9"/>
        <v>2045.0899999999988</v>
      </c>
      <c r="P29" s="95">
        <f t="shared" si="9"/>
        <v>2248.653999999999</v>
      </c>
      <c r="Q29" s="95">
        <f t="shared" si="9"/>
        <v>2414.1279999999992</v>
      </c>
      <c r="R29" s="95">
        <f t="shared" si="9"/>
        <v>2697.3619999999996</v>
      </c>
      <c r="S29" s="95">
        <f t="shared" si="9"/>
        <v>3105.5759999999987</v>
      </c>
      <c r="T29" s="95">
        <f t="shared" si="9"/>
        <v>2568.8599999999983</v>
      </c>
      <c r="U29" s="95">
        <f t="shared" si="9"/>
        <v>2909.313999999998</v>
      </c>
      <c r="V29" s="95">
        <f t="shared" si="9"/>
        <v>3013.147999999998</v>
      </c>
      <c r="W29" s="68"/>
      <c r="X29" s="61"/>
    </row>
    <row r="30" spans="1:24" ht="21.75" customHeight="1" hidden="1" thickBot="1">
      <c r="A30" s="103" t="s">
        <v>45</v>
      </c>
      <c r="B30" s="39" t="s">
        <v>25</v>
      </c>
      <c r="C30" s="46">
        <v>4766.55</v>
      </c>
      <c r="D30" s="50">
        <v>14147.42</v>
      </c>
      <c r="E30" s="104">
        <f>SUM(E7-E11,D30)</f>
        <v>-9403.300000000001</v>
      </c>
      <c r="F30" s="105">
        <f>SUM(F7-F11,E30)</f>
        <v>2337.2599999999893</v>
      </c>
      <c r="G30" s="105">
        <f>SUM(G7-G11,F30)</f>
        <v>-3188.710000000012</v>
      </c>
      <c r="H30" s="106">
        <f>SUM(H29+G30)</f>
        <v>1946.3579999999847</v>
      </c>
      <c r="I30" s="106">
        <f>SUM(I29+H30)</f>
        <v>8128.195999999985</v>
      </c>
      <c r="J30" s="106">
        <f>SUM(J29+I30)-0.05</f>
        <v>9521.133999999987</v>
      </c>
      <c r="K30" s="106">
        <f>SUM(K29+J30)</f>
        <v>10038.577999999989</v>
      </c>
      <c r="L30" s="107">
        <f>SUM(L28+K30)</f>
        <v>10547.591999999988</v>
      </c>
      <c r="M30" s="107">
        <f aca="true" t="shared" si="10" ref="M30:U30">SUM(M28+L30)</f>
        <v>11100.075999999986</v>
      </c>
      <c r="N30" s="107">
        <f t="shared" si="10"/>
        <v>11672.799999999987</v>
      </c>
      <c r="O30" s="107">
        <f t="shared" si="10"/>
        <v>11566.223999999987</v>
      </c>
      <c r="P30" s="107">
        <f t="shared" si="10"/>
        <v>11769.787999999988</v>
      </c>
      <c r="Q30" s="107">
        <f t="shared" si="10"/>
        <v>11935.261999999988</v>
      </c>
      <c r="R30" s="107">
        <f t="shared" si="10"/>
        <v>12218.495999999988</v>
      </c>
      <c r="S30" s="107">
        <f t="shared" si="10"/>
        <v>12626.709999999988</v>
      </c>
      <c r="T30" s="107">
        <f t="shared" si="10"/>
        <v>12089.993999999988</v>
      </c>
      <c r="U30" s="107">
        <f t="shared" si="10"/>
        <v>12430.447999999988</v>
      </c>
      <c r="V30" s="107">
        <f>SUM(V28+U30)-0.05</f>
        <v>12534.231999999989</v>
      </c>
      <c r="W30" s="105"/>
      <c r="X30" s="60"/>
    </row>
    <row r="31" spans="1:24" ht="10.5" customHeight="1" hidden="1" thickBot="1">
      <c r="A31" s="42" t="s">
        <v>46</v>
      </c>
      <c r="B31" s="73" t="s">
        <v>8</v>
      </c>
      <c r="C31" s="46"/>
      <c r="D31" s="50"/>
      <c r="E31" s="50"/>
      <c r="F31" s="46"/>
      <c r="G31" s="46"/>
      <c r="H31" s="46"/>
      <c r="I31" s="46"/>
      <c r="J31" s="46"/>
      <c r="K31" s="14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1"/>
      <c r="W31" s="69"/>
      <c r="X31" s="62"/>
    </row>
    <row r="32" spans="1:24" ht="15" customHeight="1" hidden="1" thickBot="1">
      <c r="A32" s="43" t="s">
        <v>47</v>
      </c>
      <c r="B32" s="39" t="s">
        <v>26</v>
      </c>
      <c r="C32" s="46"/>
      <c r="D32" s="50"/>
      <c r="E32" s="50"/>
      <c r="F32" s="46"/>
      <c r="G32" s="46"/>
      <c r="H32" s="46"/>
      <c r="I32" s="46"/>
      <c r="J32" s="46"/>
      <c r="K32" s="1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1"/>
      <c r="W32" s="68"/>
      <c r="X32" s="63"/>
    </row>
    <row r="33" spans="1:24" ht="1.5" customHeight="1" hidden="1" thickBot="1">
      <c r="A33" s="43" t="s">
        <v>51</v>
      </c>
      <c r="B33" s="40" t="s">
        <v>52</v>
      </c>
      <c r="C33" s="47"/>
      <c r="D33" s="51"/>
      <c r="E33" s="51"/>
      <c r="F33" s="47"/>
      <c r="G33" s="47"/>
      <c r="H33" s="47"/>
      <c r="I33" s="47"/>
      <c r="J33" s="47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7">
        <f>SUM(V29-V31)</f>
        <v>3013.147999999998</v>
      </c>
      <c r="W33" s="70"/>
      <c r="X33" s="64"/>
    </row>
    <row r="34" spans="1:24" ht="24" customHeight="1" hidden="1" thickBot="1">
      <c r="A34" s="74" t="s">
        <v>54</v>
      </c>
      <c r="B34" s="40" t="s">
        <v>27</v>
      </c>
      <c r="C34" s="47"/>
      <c r="D34" s="51"/>
      <c r="E34" s="51"/>
      <c r="F34" s="47"/>
      <c r="G34" s="47"/>
      <c r="H34" s="47"/>
      <c r="I34" s="47"/>
      <c r="J34" s="47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>
        <f>SUM(V30-V31)</f>
        <v>12534.231999999989</v>
      </c>
      <c r="W34" s="70"/>
      <c r="X34" s="64"/>
    </row>
    <row r="35" spans="3:24" ht="7.5" customHeight="1" hidden="1">
      <c r="C35" s="23"/>
      <c r="D35" s="23"/>
      <c r="E35" s="23"/>
      <c r="F35" s="23"/>
      <c r="G35" s="23"/>
      <c r="H35" s="23"/>
      <c r="I35" s="23"/>
      <c r="J35" s="23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5"/>
    </row>
    <row r="36" ht="14.25" customHeight="1" hidden="1"/>
    <row r="37" ht="0.75" customHeight="1" hidden="1"/>
    <row r="38" ht="12.75" hidden="1"/>
    <row r="39" ht="12.75" hidden="1"/>
    <row r="40" ht="12.75">
      <c r="B40" t="s">
        <v>72</v>
      </c>
    </row>
    <row r="44" ht="12.75" customHeight="1"/>
    <row r="45" ht="12.75" customHeight="1"/>
  </sheetData>
  <sheetProtection/>
  <mergeCells count="5">
    <mergeCell ref="B4:X4"/>
    <mergeCell ref="B5:X5"/>
    <mergeCell ref="B3:X3"/>
    <mergeCell ref="B1:M1"/>
    <mergeCell ref="B2:T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2018-02-07T07:02:41Z</cp:lastPrinted>
  <dcterms:created xsi:type="dcterms:W3CDTF">2011-06-16T11:06:26Z</dcterms:created>
  <dcterms:modified xsi:type="dcterms:W3CDTF">2018-02-12T07:31:01Z</dcterms:modified>
  <cp:category/>
  <cp:version/>
  <cp:contentType/>
  <cp:contentStatus/>
</cp:coreProperties>
</file>