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<sst xmlns="http://schemas.openxmlformats.org/spreadsheetml/2006/main" count="81" uniqueCount="81">
  <si>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</si>
  <si>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</si>
  <si>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</si>
  <si>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</si>
  <si>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</si>
  <si>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</si>
  <si>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</si>
  <si>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</si>
  <si>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</si>
  <si>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</si>
  <si>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</si>
  <si>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</si>
  <si>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</si>
  <si>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</si>
  <si>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</si>
  <si>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</si>
  <si>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</si>
  <si>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</si>
  <si>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</si>
  <si>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</si>
  <si>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</si>
  <si>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</si>
  <si>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</si>
  <si>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</si>
  <si>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</si>
  <si>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</si>
  <si>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</si>
  <si>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</si>
  <si>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</si>
  <si>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</si>
  <si>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</si>
  <si>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</si>
  <si>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</si>
  <si>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</si>
  <si>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</si>
  <si>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</si>
  <si>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</si>
  <si>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</si>
  <si>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</si>
  <si>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</si>
  <si>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</si>
  <si>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</si>
  <si>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</si>
  <si>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</si>
  <si>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</si>
  <si>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</si>
  <si>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</si>
  <si>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Крупской д.44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</si>
  <si>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</si>
  <si>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</si>
  <si>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</si>
  <si>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</si>
  <si>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</si>
  <si>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</si>
  <si>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</si>
  <si>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</si>
  <si>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</si>
  <si>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4.13</t>
  </si>
  <si>
    <t>4.14</t>
  </si>
  <si>
    <t>Дом по ул.Крупской д. 44 вступил в ООО "Наш дом" с февраля 2010 года                                                       тариф 9,2 руб</t>
  </si>
  <si>
    <t>%  оплаты</t>
  </si>
  <si>
    <t>Итого за 2013 г</t>
  </si>
  <si>
    <t>4.3</t>
  </si>
  <si>
    <t>Тех.обслуживание  газопроводов</t>
  </si>
  <si>
    <t xml:space="preserve">Материалы </t>
  </si>
  <si>
    <t>Итого за 2014 г</t>
  </si>
  <si>
    <t>рентабельность 5%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</si>
  <si>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</si>
  <si>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</si>
  <si>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</si>
  <si>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2015 г</t>
  </si>
  <si>
    <t>Исполнитель  вед. экономист /Викторова Л.С./</t>
  </si>
  <si>
    <t>Итого за 2016 г</t>
  </si>
  <si>
    <t>Итого за 2017 г</t>
  </si>
  <si>
    <t>Всего за 2010-2017</t>
  </si>
  <si>
    <t>Начислено   СОИД</t>
  </si>
  <si>
    <t>Электроэнергия 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</si>
  <si>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</si>
  <si>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</si>
  <si>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</si>
  <si>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Транспортные(ГСМ,зап.части,амортизация,страхование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</si>
</sst>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1" fontId="21" fillId="0" borderId="38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2" borderId="29" xfId="0" applyFill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5" fillId="0" borderId="34" xfId="0" applyFont="1" applyBorder="1" applyAlignment="1">
      <alignment/>
    </xf>
    <xf numFmtId="1" fontId="20" fillId="0" borderId="35" xfId="0" applyNumberFormat="1" applyFont="1" applyBorder="1" applyAlignment="1">
      <alignment horizontal="center"/>
    </xf>
    <xf numFmtId="2" fontId="25" fillId="0" borderId="28" xfId="0" applyNumberFormat="1" applyFont="1" applyBorder="1" applyAlignment="1">
      <alignment/>
    </xf>
    <xf numFmtId="49" fontId="0" fillId="0" borderId="37" xfId="0" applyNumberFormat="1" applyBorder="1" applyAlignment="1">
      <alignment horizontal="center"/>
    </xf>
    <xf numFmtId="2" fontId="21" fillId="0" borderId="37" xfId="0" applyNumberFormat="1" applyFont="1" applyBorder="1" applyAlignment="1">
      <alignment horizontal="right" wrapText="1"/>
    </xf>
    <xf numFmtId="0" fontId="25" fillId="0" borderId="29" xfId="0" applyFont="1" applyBorder="1" applyAlignment="1">
      <alignment/>
    </xf>
    <xf numFmtId="0" fontId="26" fillId="0" borderId="34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/>
    </xf>
    <xf numFmtId="0" fontId="26" fillId="0" borderId="27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6">
      <selection activeCell="R27" sqref="R27"/>
    </sheetView>
  </sheetViews>
  <sheetFormatPr defaultColWidth="9.00390625" defaultRowHeight="12.75"/>
  <cols>
    <col min="1" max="1" width="3.75390625" style="32" customWidth="1"/>
    <col min="2" max="2" width="22.625" style="0" customWidth="1"/>
    <col min="3" max="3" width="7.75390625" style="0" hidden="1" customWidth="1"/>
    <col min="4" max="4" width="8.125" style="0" hidden="1" customWidth="1"/>
    <col min="5" max="5" width="11.875" style="0" hidden="1" customWidth="1"/>
    <col min="6" max="6" width="11.00390625" style="0" hidden="1" customWidth="1"/>
    <col min="7" max="8" width="10.625" style="0" hidden="1" customWidth="1"/>
    <col min="9" max="9" width="9.875" style="0" hidden="1" customWidth="1"/>
    <col min="10" max="10" width="9.00390625" style="0" customWidth="1"/>
    <col min="11" max="11" width="7.875" style="0" customWidth="1"/>
    <col min="12" max="12" width="8.00390625" style="0" customWidth="1"/>
    <col min="13" max="13" width="8.75390625" style="0" customWidth="1"/>
    <col min="14" max="14" width="8.25390625" style="0" customWidth="1"/>
    <col min="15" max="15" width="7.875" style="0" customWidth="1"/>
    <col min="16" max="16" width="8.375" style="0" customWidth="1"/>
    <col min="17" max="17" width="8.25390625" style="0" customWidth="1"/>
    <col min="18" max="18" width="8.625" style="0" customWidth="1"/>
    <col min="19" max="19" width="8.875" style="0" customWidth="1"/>
    <col min="20" max="20" width="8.25390625" style="0" customWidth="1"/>
    <col min="21" max="21" width="8.75390625" style="0" customWidth="1"/>
    <col min="22" max="22" width="10.375" style="0" customWidth="1"/>
    <col min="23" max="23" width="9.75390625" style="0" hidden="1" customWidth="1"/>
  </cols>
  <sheetData>
    <row r="1" spans="2:28" ht="12.75" customHeight="1">
      <c r="B1" s="91" t="s">
        <v>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1" t="s">
        <v>59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54"/>
      <c r="W2" s="4"/>
      <c r="X2" s="4"/>
      <c r="Y2" s="4"/>
      <c r="Z2" s="4"/>
      <c r="AA2" s="4"/>
      <c r="AB2" s="4"/>
    </row>
    <row r="3" spans="2:28" ht="12.75" customHeight="1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3"/>
      <c r="Y3" s="3"/>
      <c r="Z3" s="3"/>
      <c r="AA3" s="3"/>
      <c r="AB3" s="3"/>
    </row>
    <row r="4" spans="2:28" ht="15" customHeight="1">
      <c r="B4" s="89" t="s">
        <v>10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2"/>
      <c r="Y4" s="2"/>
      <c r="Z4" s="2"/>
      <c r="AA4" s="2"/>
      <c r="AB4" s="2"/>
    </row>
    <row r="5" spans="2:28" ht="15.75" customHeight="1" thickBot="1">
      <c r="B5" s="89" t="s">
        <v>47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26.25" customHeight="1" thickBot="1">
      <c r="A7" s="44" t="s">
        <v>27</v>
      </c>
      <c r="B7" s="33" t="s">
        <v>6</v>
      </c>
      <c r="C7" s="47" t="s">
        <v>48</v>
      </c>
      <c r="D7" s="59" t="s">
        <v>51</v>
      </c>
      <c r="E7" s="59" t="s">
        <v>55</v>
      </c>
      <c r="F7" s="86" t="s">
        <v>61</v>
      </c>
      <c r="G7" s="59" t="s">
        <v>65</v>
      </c>
      <c r="H7" s="59" t="s">
        <v>70</v>
      </c>
      <c r="I7" s="59" t="s">
        <v>72</v>
      </c>
      <c r="J7" s="6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22</v>
      </c>
      <c r="U7" s="17" t="s">
        <v>21</v>
      </c>
      <c r="V7" s="59" t="s">
        <v>73</v>
      </c>
      <c r="W7" s="56" t="s">
        <v>74</v>
      </c>
      <c r="X7" s="1"/>
      <c r="Y7" s="1"/>
      <c r="Z7" s="1"/>
      <c r="AA7" s="1"/>
      <c r="AB7" s="1"/>
    </row>
    <row r="8" spans="1:23" ht="13.5" thickBot="1">
      <c r="A8" s="45" t="s">
        <v>28</v>
      </c>
      <c r="B8" s="34" t="s">
        <v>1</v>
      </c>
      <c r="C8" s="71">
        <v>58026.24</v>
      </c>
      <c r="D8" s="76">
        <v>63058.64</v>
      </c>
      <c r="E8" s="71">
        <v>62390.72</v>
      </c>
      <c r="F8" s="76">
        <v>61566.4</v>
      </c>
      <c r="G8" s="71">
        <v>61658.4</v>
      </c>
      <c r="H8" s="71">
        <v>63880.48</v>
      </c>
      <c r="I8" s="88">
        <v>61539.32</v>
      </c>
      <c r="J8" s="7">
        <v>5124.4</v>
      </c>
      <c r="K8" s="8">
        <v>5124.4</v>
      </c>
      <c r="L8" s="8">
        <v>5124.4</v>
      </c>
      <c r="M8" s="8">
        <v>5124.4</v>
      </c>
      <c r="N8" s="8">
        <v>5124.4</v>
      </c>
      <c r="O8" s="8">
        <v>5124.4</v>
      </c>
      <c r="P8" s="8">
        <v>5124.4</v>
      </c>
      <c r="Q8" s="8">
        <v>5124.4</v>
      </c>
      <c r="R8" s="8">
        <v>5124.4</v>
      </c>
      <c r="S8" s="8">
        <v>5124.4</v>
      </c>
      <c r="T8" s="8">
        <v>5124.4</v>
      </c>
      <c r="U8" s="18">
        <v>5124.4</v>
      </c>
      <c r="V8" s="60">
        <f>SUM(J8:U8)</f>
        <v>61492.80000000001</v>
      </c>
      <c r="W8" s="65">
        <f>SUM(C8:U8)</f>
        <v>493613.0000000003</v>
      </c>
    </row>
    <row r="9" spans="1:23" ht="12.75">
      <c r="A9" s="45"/>
      <c r="B9" s="34" t="s">
        <v>75</v>
      </c>
      <c r="C9" s="88"/>
      <c r="D9" s="76"/>
      <c r="E9" s="88"/>
      <c r="F9" s="76"/>
      <c r="G9" s="88"/>
      <c r="H9" s="88"/>
      <c r="I9" s="88"/>
      <c r="J9" s="7">
        <f>303.45+15.56</f>
        <v>319.01</v>
      </c>
      <c r="K9" s="8">
        <f>303.45+15.56</f>
        <v>319.01</v>
      </c>
      <c r="L9" s="8">
        <f>303.45+15.56</f>
        <v>319.01</v>
      </c>
      <c r="M9" s="8">
        <f>303.45+15.56</f>
        <v>319.01</v>
      </c>
      <c r="N9" s="8">
        <f>303.45+15.56</f>
        <v>319.01</v>
      </c>
      <c r="O9" s="8">
        <f>666.18+30.1+26.21</f>
        <v>722.49</v>
      </c>
      <c r="P9" s="8">
        <f>30.4+26.86-478.38</f>
        <v>-421.12</v>
      </c>
      <c r="Q9" s="8">
        <f>93.88+30.4+26.86</f>
        <v>151.14</v>
      </c>
      <c r="R9" s="8">
        <f>93.88+30.4+26.86</f>
        <v>151.14</v>
      </c>
      <c r="S9" s="8">
        <f>93.88+30.4+26.86</f>
        <v>151.14</v>
      </c>
      <c r="T9" s="8">
        <f>93.88+30.4+26.85</f>
        <v>151.13</v>
      </c>
      <c r="U9" s="18">
        <f>93.8+30.4+26.85</f>
        <v>151.04999999999998</v>
      </c>
      <c r="V9" s="60">
        <f>SUM(J9:U9)</f>
        <v>2652.02</v>
      </c>
      <c r="W9" s="65">
        <f>SUM(C9:U9)</f>
        <v>2652.02</v>
      </c>
    </row>
    <row r="10" spans="1:23" ht="12.75">
      <c r="A10" s="45" t="s">
        <v>29</v>
      </c>
      <c r="B10" s="35" t="s">
        <v>2</v>
      </c>
      <c r="C10" s="72">
        <v>49906.18</v>
      </c>
      <c r="D10" s="77">
        <v>63540.49</v>
      </c>
      <c r="E10" s="72">
        <v>62563.13</v>
      </c>
      <c r="F10" s="77">
        <v>61163.44</v>
      </c>
      <c r="G10" s="72">
        <v>61112.8</v>
      </c>
      <c r="H10" s="72">
        <v>64419.75</v>
      </c>
      <c r="I10" s="72">
        <v>60019.49</v>
      </c>
      <c r="J10" s="9">
        <v>5206.28</v>
      </c>
      <c r="K10" s="10">
        <v>5082.8</v>
      </c>
      <c r="L10" s="10">
        <v>5082.8</v>
      </c>
      <c r="M10" s="10">
        <v>5082.8</v>
      </c>
      <c r="N10" s="10">
        <v>5082.8</v>
      </c>
      <c r="O10" s="10">
        <v>6082.8</v>
      </c>
      <c r="P10" s="10">
        <v>6459.55</v>
      </c>
      <c r="Q10" s="10">
        <v>4919.14</v>
      </c>
      <c r="R10" s="10">
        <v>4910.28</v>
      </c>
      <c r="S10" s="10">
        <v>4868.8</v>
      </c>
      <c r="T10" s="10">
        <v>4923.2</v>
      </c>
      <c r="U10" s="19">
        <v>4923.19</v>
      </c>
      <c r="V10" s="60">
        <f>SUM(J10:U10)</f>
        <v>62624.44</v>
      </c>
      <c r="W10" s="30">
        <f>SUM(C10:U10)</f>
        <v>485349.72</v>
      </c>
    </row>
    <row r="11" spans="1:23" ht="15.75" customHeight="1" thickBot="1">
      <c r="A11" s="45" t="s">
        <v>30</v>
      </c>
      <c r="B11" s="36" t="s">
        <v>60</v>
      </c>
      <c r="C11" s="61">
        <f aca="true" t="shared" si="0" ref="C11:J11">SUM(C10/C8*100)</f>
        <v>86.0062275274083</v>
      </c>
      <c r="D11" s="55">
        <f t="shared" si="0"/>
        <v>100.76413002246798</v>
      </c>
      <c r="E11" s="61">
        <f t="shared" si="0"/>
        <v>100.2763391735181</v>
      </c>
      <c r="F11" s="55">
        <f t="shared" si="0"/>
        <v>99.34548714883444</v>
      </c>
      <c r="G11" s="61">
        <f t="shared" si="0"/>
        <v>99.11512462211151</v>
      </c>
      <c r="H11" s="61">
        <f>SUM(H10/H8*100)</f>
        <v>100.84418589215358</v>
      </c>
      <c r="I11" s="24">
        <f>SUM(I10/I8*100)</f>
        <v>97.5303107021657</v>
      </c>
      <c r="J11" s="24">
        <f t="shared" si="0"/>
        <v>101.59784560143628</v>
      </c>
      <c r="K11" s="24">
        <f aca="true" t="shared" si="1" ref="K11:U11">SUM(K10/K8*100)</f>
        <v>99.18819764265085</v>
      </c>
      <c r="L11" s="24">
        <f t="shared" si="1"/>
        <v>99.18819764265085</v>
      </c>
      <c r="M11" s="24">
        <f t="shared" si="1"/>
        <v>99.18819764265085</v>
      </c>
      <c r="N11" s="24">
        <f t="shared" si="1"/>
        <v>99.18819764265085</v>
      </c>
      <c r="O11" s="24">
        <f t="shared" si="1"/>
        <v>118.70267738662088</v>
      </c>
      <c r="P11" s="24">
        <f t="shared" si="1"/>
        <v>126.05475763016159</v>
      </c>
      <c r="Q11" s="24">
        <f t="shared" si="1"/>
        <v>95.99445788775273</v>
      </c>
      <c r="R11" s="24">
        <f t="shared" si="1"/>
        <v>95.82155959722114</v>
      </c>
      <c r="S11" s="24">
        <f t="shared" si="1"/>
        <v>95.01209897744127</v>
      </c>
      <c r="T11" s="24">
        <f t="shared" si="1"/>
        <v>96.07368667551324</v>
      </c>
      <c r="U11" s="55">
        <f t="shared" si="1"/>
        <v>96.0734915307158</v>
      </c>
      <c r="V11" s="66">
        <f>SUM(V10/V8*100)</f>
        <v>101.84028048812218</v>
      </c>
      <c r="W11" s="66">
        <f>SUM(W10/W8*100)</f>
        <v>98.32595981062082</v>
      </c>
    </row>
    <row r="12" spans="1:23" ht="13.5" thickBot="1">
      <c r="A12" s="45" t="s">
        <v>31</v>
      </c>
      <c r="B12" s="37" t="s">
        <v>3</v>
      </c>
      <c r="C12" s="62">
        <f aca="true" t="shared" si="2" ref="C12:J12">SUM(C13:C27)</f>
        <v>44898.32</v>
      </c>
      <c r="D12" s="20">
        <f t="shared" si="2"/>
        <v>59814.200000000004</v>
      </c>
      <c r="E12" s="62">
        <f t="shared" si="2"/>
        <v>56382.75000000001</v>
      </c>
      <c r="F12" s="20">
        <f t="shared" si="2"/>
        <v>76728.34999999999</v>
      </c>
      <c r="G12" s="62">
        <f t="shared" si="2"/>
        <v>60248.46</v>
      </c>
      <c r="H12" s="62">
        <f>SUM(H13:H27)</f>
        <v>61336.52</v>
      </c>
      <c r="I12" s="13">
        <f>SUM(I13:I27)</f>
        <v>61518.94</v>
      </c>
      <c r="J12" s="13">
        <f t="shared" si="2"/>
        <v>4713.52</v>
      </c>
      <c r="K12" s="13">
        <f aca="true" t="shared" si="3" ref="K12:U12">SUM(K13:K27)</f>
        <v>4386.720000000001</v>
      </c>
      <c r="L12" s="13">
        <f t="shared" si="3"/>
        <v>4167.66</v>
      </c>
      <c r="M12" s="13">
        <f t="shared" si="3"/>
        <v>4392.22</v>
      </c>
      <c r="N12" s="13">
        <f t="shared" si="3"/>
        <v>4493.56</v>
      </c>
      <c r="O12" s="13">
        <f t="shared" si="3"/>
        <v>4885.079999999999</v>
      </c>
      <c r="P12" s="13">
        <f t="shared" si="3"/>
        <v>3704.51</v>
      </c>
      <c r="Q12" s="13">
        <f t="shared" si="3"/>
        <v>5854.84</v>
      </c>
      <c r="R12" s="13">
        <f t="shared" si="3"/>
        <v>4170.34</v>
      </c>
      <c r="S12" s="13">
        <f t="shared" si="3"/>
        <v>4312.42</v>
      </c>
      <c r="T12" s="13">
        <f t="shared" si="3"/>
        <v>4352.33</v>
      </c>
      <c r="U12" s="20">
        <f t="shared" si="3"/>
        <v>4142.81</v>
      </c>
      <c r="V12" s="62">
        <f>SUM(J12:U12)</f>
        <v>53576.009999999995</v>
      </c>
      <c r="W12" s="31">
        <f>SUM(C12:U12)</f>
        <v>474503.55000000005</v>
      </c>
    </row>
    <row r="13" spans="1:23" ht="13.5" thickBot="1">
      <c r="A13" s="45" t="s">
        <v>32</v>
      </c>
      <c r="B13" s="38" t="s">
        <v>5</v>
      </c>
      <c r="C13" s="51">
        <v>12305.62</v>
      </c>
      <c r="D13" s="78">
        <v>15404.67</v>
      </c>
      <c r="E13" s="51">
        <v>15403.6</v>
      </c>
      <c r="F13" s="78">
        <v>16388.72</v>
      </c>
      <c r="G13" s="51">
        <v>17950.79</v>
      </c>
      <c r="H13" s="51">
        <v>17392.77</v>
      </c>
      <c r="I13" s="51">
        <v>14624.1</v>
      </c>
      <c r="J13" s="7">
        <f>1060+13.27</f>
        <v>1073.27</v>
      </c>
      <c r="K13" s="8">
        <f>1113+65.19</f>
        <v>1178.19</v>
      </c>
      <c r="L13" s="8">
        <f>1113+38.28</f>
        <v>1151.28</v>
      </c>
      <c r="M13" s="8">
        <f>1113+121.31</f>
        <v>1234.31</v>
      </c>
      <c r="N13" s="8">
        <f>1113+60.55</f>
        <v>1173.55</v>
      </c>
      <c r="O13" s="8">
        <f>1113+37.01</f>
        <v>1150.01</v>
      </c>
      <c r="P13" s="8">
        <f>1113+58.31</f>
        <v>1171.31</v>
      </c>
      <c r="Q13" s="8">
        <f>1113+67.8</f>
        <v>1180.8</v>
      </c>
      <c r="R13" s="8">
        <f>1113+70.13</f>
        <v>1183.13</v>
      </c>
      <c r="S13" s="8">
        <f>1113+72.9</f>
        <v>1185.9</v>
      </c>
      <c r="T13" s="8">
        <f>1060+60.94</f>
        <v>1120.94</v>
      </c>
      <c r="U13" s="18">
        <f>1060+61.05</f>
        <v>1121.05</v>
      </c>
      <c r="V13" s="62">
        <f aca="true" t="shared" si="4" ref="V13:V29">SUM(J13:U13)</f>
        <v>13923.739999999998</v>
      </c>
      <c r="W13" s="31">
        <f aca="true" t="shared" si="5" ref="W13:W27">SUM(C13:U13)</f>
        <v>123394.01000000001</v>
      </c>
    </row>
    <row r="14" spans="1:23" ht="13.5" customHeight="1" thickBot="1">
      <c r="A14" s="45" t="s">
        <v>33</v>
      </c>
      <c r="B14" s="39" t="s">
        <v>67</v>
      </c>
      <c r="C14" s="52">
        <v>12902.55</v>
      </c>
      <c r="D14" s="79">
        <v>5764.92</v>
      </c>
      <c r="E14" s="52">
        <v>1141.85</v>
      </c>
      <c r="F14" s="79">
        <v>2686.6</v>
      </c>
      <c r="G14" s="52"/>
      <c r="H14" s="52">
        <v>613.52</v>
      </c>
      <c r="I14" s="52">
        <v>40.23</v>
      </c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9"/>
      <c r="V14" s="62">
        <f t="shared" si="4"/>
        <v>0</v>
      </c>
      <c r="W14" s="31">
        <f t="shared" si="5"/>
        <v>23149.67</v>
      </c>
    </row>
    <row r="15" spans="1:23" ht="15.75" customHeight="1" thickBot="1">
      <c r="A15" s="45" t="s">
        <v>62</v>
      </c>
      <c r="B15" s="36" t="s">
        <v>52</v>
      </c>
      <c r="C15" s="52">
        <v>0</v>
      </c>
      <c r="D15" s="79">
        <v>717.98</v>
      </c>
      <c r="E15" s="52">
        <v>0</v>
      </c>
      <c r="F15" s="79">
        <v>0</v>
      </c>
      <c r="G15" s="52"/>
      <c r="H15" s="52">
        <v>0</v>
      </c>
      <c r="I15" s="52">
        <v>400</v>
      </c>
      <c r="J15" s="9"/>
      <c r="K15" s="10"/>
      <c r="L15" s="10"/>
      <c r="M15" s="10"/>
      <c r="N15" s="10"/>
      <c r="O15" s="10"/>
      <c r="P15" s="10"/>
      <c r="Q15" s="10">
        <v>500</v>
      </c>
      <c r="R15" s="10"/>
      <c r="S15" s="10"/>
      <c r="T15" s="10"/>
      <c r="U15" s="19"/>
      <c r="V15" s="62">
        <f t="shared" si="4"/>
        <v>500</v>
      </c>
      <c r="W15" s="31">
        <f t="shared" si="5"/>
        <v>1617.98</v>
      </c>
    </row>
    <row r="16" spans="1:23" ht="21.75" customHeight="1" thickBot="1">
      <c r="A16" s="45" t="s">
        <v>34</v>
      </c>
      <c r="B16" s="39" t="s">
        <v>63</v>
      </c>
      <c r="C16" s="52"/>
      <c r="D16" s="79"/>
      <c r="E16" s="52"/>
      <c r="F16" s="79">
        <v>10713.22</v>
      </c>
      <c r="G16" s="52"/>
      <c r="H16" s="52">
        <v>0</v>
      </c>
      <c r="I16" s="52">
        <v>8514.1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9"/>
      <c r="V16" s="62">
        <f>SUM(J16:U16)</f>
        <v>0</v>
      </c>
      <c r="W16" s="31">
        <f>SUM(C16:U16)</f>
        <v>19227.32</v>
      </c>
    </row>
    <row r="17" spans="1:23" ht="14.25" customHeight="1" thickBot="1">
      <c r="A17" s="45" t="s">
        <v>35</v>
      </c>
      <c r="B17" s="39" t="s">
        <v>64</v>
      </c>
      <c r="C17" s="52">
        <v>767.67</v>
      </c>
      <c r="D17" s="79">
        <v>1669.06</v>
      </c>
      <c r="E17" s="52">
        <v>116.03</v>
      </c>
      <c r="F17" s="79">
        <v>6953.22</v>
      </c>
      <c r="G17" s="52">
        <v>3129.69</v>
      </c>
      <c r="H17" s="52">
        <v>152.23</v>
      </c>
      <c r="I17" s="52">
        <v>843.8</v>
      </c>
      <c r="J17" s="9">
        <v>72</v>
      </c>
      <c r="K17" s="10"/>
      <c r="L17" s="10"/>
      <c r="M17" s="10"/>
      <c r="N17" s="10">
        <v>71.6</v>
      </c>
      <c r="O17" s="10"/>
      <c r="P17" s="10"/>
      <c r="Q17" s="10">
        <f>1093.76+95</f>
        <v>1188.76</v>
      </c>
      <c r="R17" s="10"/>
      <c r="S17" s="10"/>
      <c r="T17" s="10"/>
      <c r="U17" s="19"/>
      <c r="V17" s="62">
        <f t="shared" si="4"/>
        <v>1332.36</v>
      </c>
      <c r="W17" s="67">
        <f>SUM(C17:U17)</f>
        <v>14964.06</v>
      </c>
    </row>
    <row r="18" spans="1:23" ht="18.75" customHeight="1" thickBot="1">
      <c r="A18" s="45" t="s">
        <v>36</v>
      </c>
      <c r="B18" s="39" t="s">
        <v>56</v>
      </c>
      <c r="C18" s="52">
        <v>0</v>
      </c>
      <c r="D18" s="79">
        <v>0</v>
      </c>
      <c r="E18" s="52">
        <v>256</v>
      </c>
      <c r="F18" s="79">
        <v>0</v>
      </c>
      <c r="G18" s="52">
        <v>14.06</v>
      </c>
      <c r="H18" s="52">
        <v>52.96</v>
      </c>
      <c r="I18" s="52">
        <v>51</v>
      </c>
      <c r="J18" s="9">
        <v>268.15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9">
        <v>42.53</v>
      </c>
      <c r="V18" s="62">
        <f t="shared" si="4"/>
        <v>310.67999999999995</v>
      </c>
      <c r="W18" s="67">
        <f>SUM(C18:U18)</f>
        <v>684.6999999999999</v>
      </c>
    </row>
    <row r="19" spans="1:23" ht="12" customHeight="1" thickBot="1">
      <c r="A19" s="45" t="s">
        <v>37</v>
      </c>
      <c r="B19" s="39" t="s">
        <v>76</v>
      </c>
      <c r="C19" s="52">
        <v>1452.82</v>
      </c>
      <c r="D19" s="79">
        <v>1838.06</v>
      </c>
      <c r="E19" s="52">
        <v>1042.04</v>
      </c>
      <c r="F19" s="79">
        <v>0</v>
      </c>
      <c r="G19" s="52"/>
      <c r="H19" s="52">
        <v>0</v>
      </c>
      <c r="I19" s="52">
        <v>0</v>
      </c>
      <c r="J19" s="9">
        <v>303.45</v>
      </c>
      <c r="K19" s="10">
        <v>303.45</v>
      </c>
      <c r="L19" s="10">
        <v>303.45</v>
      </c>
      <c r="M19" s="10">
        <v>303.45</v>
      </c>
      <c r="N19" s="10">
        <v>303.45</v>
      </c>
      <c r="O19" s="10">
        <v>666.16</v>
      </c>
      <c r="P19" s="10">
        <v>-478.38</v>
      </c>
      <c r="Q19" s="10">
        <v>93.88</v>
      </c>
      <c r="R19" s="10">
        <v>93.88</v>
      </c>
      <c r="S19" s="10">
        <v>93.88</v>
      </c>
      <c r="T19" s="10">
        <v>93.88</v>
      </c>
      <c r="U19" s="19">
        <v>93.88</v>
      </c>
      <c r="V19" s="62">
        <f t="shared" si="4"/>
        <v>2174.4300000000003</v>
      </c>
      <c r="W19" s="31">
        <f t="shared" si="5"/>
        <v>6507.349999999999</v>
      </c>
    </row>
    <row r="20" spans="1:23" ht="12" customHeight="1" thickBot="1">
      <c r="A20" s="45"/>
      <c r="B20" s="39" t="s">
        <v>77</v>
      </c>
      <c r="C20" s="52"/>
      <c r="D20" s="79"/>
      <c r="E20" s="52"/>
      <c r="F20" s="79"/>
      <c r="G20" s="52"/>
      <c r="H20" s="52"/>
      <c r="I20" s="52"/>
      <c r="J20" s="9"/>
      <c r="K20" s="10"/>
      <c r="L20" s="10"/>
      <c r="M20" s="10"/>
      <c r="N20" s="10">
        <v>62.16</v>
      </c>
      <c r="O20" s="10">
        <v>45.66</v>
      </c>
      <c r="P20" s="10">
        <v>30.39</v>
      </c>
      <c r="Q20" s="10">
        <v>30.39</v>
      </c>
      <c r="R20" s="10">
        <v>30.39</v>
      </c>
      <c r="S20" s="10">
        <v>30.39</v>
      </c>
      <c r="T20" s="10">
        <v>30.39</v>
      </c>
      <c r="U20" s="19">
        <v>30.39</v>
      </c>
      <c r="V20" s="62">
        <f>SUM(J20:U20)</f>
        <v>290.1599999999999</v>
      </c>
      <c r="W20" s="31">
        <f>SUM(C20:U20)</f>
        <v>290.1599999999999</v>
      </c>
    </row>
    <row r="21" spans="1:23" ht="12" customHeight="1" thickBot="1">
      <c r="A21" s="45"/>
      <c r="B21" s="39" t="s">
        <v>78</v>
      </c>
      <c r="C21" s="52"/>
      <c r="D21" s="79"/>
      <c r="E21" s="52"/>
      <c r="F21" s="79"/>
      <c r="G21" s="52"/>
      <c r="H21" s="52"/>
      <c r="I21" s="52"/>
      <c r="J21" s="9"/>
      <c r="K21" s="10"/>
      <c r="L21" s="10"/>
      <c r="M21" s="10"/>
      <c r="N21" s="10"/>
      <c r="O21" s="10">
        <v>26.21</v>
      </c>
      <c r="P21" s="10">
        <v>26.84</v>
      </c>
      <c r="Q21" s="10">
        <v>26.84</v>
      </c>
      <c r="R21" s="10">
        <v>26.84</v>
      </c>
      <c r="S21" s="10">
        <v>26.84</v>
      </c>
      <c r="T21" s="10">
        <v>26.84</v>
      </c>
      <c r="U21" s="19">
        <v>26.84</v>
      </c>
      <c r="V21" s="62">
        <f>SUM(J21:U21)</f>
        <v>187.25</v>
      </c>
      <c r="W21" s="31">
        <f>SUM(C21:U21)</f>
        <v>187.25</v>
      </c>
    </row>
    <row r="22" spans="1:23" ht="12" customHeight="1" thickBot="1">
      <c r="A22" s="45" t="s">
        <v>38</v>
      </c>
      <c r="B22" s="39" t="s">
        <v>79</v>
      </c>
      <c r="C22" s="52">
        <v>440.22</v>
      </c>
      <c r="D22" s="79">
        <v>343.15</v>
      </c>
      <c r="E22" s="52">
        <v>320.74</v>
      </c>
      <c r="F22" s="79">
        <v>304.99</v>
      </c>
      <c r="G22" s="52"/>
      <c r="H22" s="52">
        <v>0</v>
      </c>
      <c r="I22" s="52">
        <v>0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9"/>
      <c r="V22" s="62">
        <f t="shared" si="4"/>
        <v>0</v>
      </c>
      <c r="W22" s="31">
        <f t="shared" si="5"/>
        <v>1409.1000000000001</v>
      </c>
    </row>
    <row r="23" spans="1:23" ht="27.75" customHeight="1" thickBot="1">
      <c r="A23" s="45" t="s">
        <v>39</v>
      </c>
      <c r="B23" s="39" t="s">
        <v>80</v>
      </c>
      <c r="C23" s="52">
        <v>780.38</v>
      </c>
      <c r="D23" s="79">
        <v>2770.11</v>
      </c>
      <c r="E23" s="52">
        <v>3458.42</v>
      </c>
      <c r="F23" s="79">
        <v>3511.06</v>
      </c>
      <c r="G23" s="52">
        <v>2272.97</v>
      </c>
      <c r="H23" s="52">
        <v>2685.11</v>
      </c>
      <c r="I23" s="52">
        <v>2832.53</v>
      </c>
      <c r="J23" s="9">
        <v>239.67</v>
      </c>
      <c r="K23" s="10">
        <v>224.1</v>
      </c>
      <c r="L23" s="10">
        <v>278.59</v>
      </c>
      <c r="M23" s="10">
        <v>207.05</v>
      </c>
      <c r="N23" s="10">
        <v>220.5</v>
      </c>
      <c r="O23" s="10">
        <v>247.97</v>
      </c>
      <c r="P23" s="10">
        <v>200.97</v>
      </c>
      <c r="Q23" s="10">
        <v>232.46</v>
      </c>
      <c r="R23" s="10">
        <v>218.65</v>
      </c>
      <c r="S23" s="10">
        <v>278.97</v>
      </c>
      <c r="T23" s="10">
        <v>288.56</v>
      </c>
      <c r="U23" s="19">
        <f>238.46</f>
        <v>238.46</v>
      </c>
      <c r="V23" s="62">
        <f t="shared" si="4"/>
        <v>2875.9500000000003</v>
      </c>
      <c r="W23" s="31">
        <f t="shared" si="5"/>
        <v>21186.53</v>
      </c>
    </row>
    <row r="24" spans="1:23" ht="24.75" customHeight="1" thickBot="1">
      <c r="A24" s="45" t="s">
        <v>40</v>
      </c>
      <c r="B24" s="39" t="s">
        <v>68</v>
      </c>
      <c r="C24" s="52">
        <v>1379.79</v>
      </c>
      <c r="D24" s="79">
        <v>1511.08</v>
      </c>
      <c r="E24" s="52">
        <v>448.29</v>
      </c>
      <c r="F24" s="79">
        <v>314.32</v>
      </c>
      <c r="G24" s="52">
        <v>684.75</v>
      </c>
      <c r="H24" s="52">
        <v>462.75</v>
      </c>
      <c r="I24" s="52">
        <v>402.93</v>
      </c>
      <c r="J24" s="9">
        <v>52.67</v>
      </c>
      <c r="K24" s="10">
        <v>16.21</v>
      </c>
      <c r="L24" s="10">
        <v>17.39</v>
      </c>
      <c r="M24" s="10">
        <v>16.09</v>
      </c>
      <c r="N24" s="10">
        <v>15.61</v>
      </c>
      <c r="O24" s="10">
        <v>24.27</v>
      </c>
      <c r="P24" s="10">
        <v>22.8</v>
      </c>
      <c r="Q24" s="10">
        <v>70.21</v>
      </c>
      <c r="R24" s="10">
        <v>16.39</v>
      </c>
      <c r="S24" s="10">
        <v>24.23</v>
      </c>
      <c r="T24" s="10">
        <v>16.38</v>
      </c>
      <c r="U24" s="19">
        <v>22.33</v>
      </c>
      <c r="V24" s="62">
        <f t="shared" si="4"/>
        <v>314.58</v>
      </c>
      <c r="W24" s="31">
        <f t="shared" si="5"/>
        <v>5518.490000000001</v>
      </c>
    </row>
    <row r="25" spans="1:23" ht="34.5" customHeight="1" thickBot="1">
      <c r="A25" s="45" t="s">
        <v>41</v>
      </c>
      <c r="B25" s="39" t="s">
        <v>69</v>
      </c>
      <c r="C25" s="52">
        <v>418.5</v>
      </c>
      <c r="D25" s="79">
        <v>2513.58</v>
      </c>
      <c r="E25" s="52">
        <v>2326.98</v>
      </c>
      <c r="F25" s="79">
        <v>3083.19</v>
      </c>
      <c r="G25" s="52">
        <v>2654.6</v>
      </c>
      <c r="H25" s="52">
        <v>3474.91</v>
      </c>
      <c r="I25" s="52">
        <v>2948</v>
      </c>
      <c r="J25" s="9">
        <f>10.56+73.58+120.45</f>
        <v>204.59</v>
      </c>
      <c r="K25" s="10">
        <f>10.52+87.19+73.86</f>
        <v>171.57</v>
      </c>
      <c r="L25" s="10">
        <f>10.36+96.91+129.72</f>
        <v>236.99</v>
      </c>
      <c r="M25" s="10">
        <f>9.78+88.82+124.86</f>
        <v>223.45999999999998</v>
      </c>
      <c r="N25" s="10">
        <f>10.05+107.71+305.45</f>
        <v>423.21</v>
      </c>
      <c r="O25" s="10">
        <f>148.41+11.79+88.21</f>
        <v>248.40999999999997</v>
      </c>
      <c r="P25" s="10">
        <f>12.9+77.63+138.59</f>
        <v>229.12</v>
      </c>
      <c r="Q25" s="10">
        <f>13.98+71.63+165.19</f>
        <v>250.8</v>
      </c>
      <c r="R25" s="10">
        <f>141.82+11.24+90.84</f>
        <v>243.9</v>
      </c>
      <c r="S25" s="10">
        <f>14.44+102.67+149.77</f>
        <v>266.88</v>
      </c>
      <c r="T25" s="10">
        <f>13.25+119.63+236.41</f>
        <v>369.28999999999996</v>
      </c>
      <c r="U25" s="19">
        <f>13.65+120.54+100.3</f>
        <v>234.49</v>
      </c>
      <c r="V25" s="62">
        <f t="shared" si="4"/>
        <v>3102.71</v>
      </c>
      <c r="W25" s="31">
        <f t="shared" si="5"/>
        <v>20522.470000000005</v>
      </c>
    </row>
    <row r="26" spans="1:23" ht="15.75" customHeight="1" thickBot="1">
      <c r="A26" s="45" t="s">
        <v>57</v>
      </c>
      <c r="B26" s="39" t="s">
        <v>9</v>
      </c>
      <c r="C26" s="52">
        <v>12448.53</v>
      </c>
      <c r="D26" s="79">
        <v>23433.96</v>
      </c>
      <c r="E26" s="52">
        <v>29255.15</v>
      </c>
      <c r="F26" s="79">
        <v>30463.49</v>
      </c>
      <c r="G26" s="52">
        <v>31233.98</v>
      </c>
      <c r="H26" s="52">
        <v>34137.75</v>
      </c>
      <c r="I26" s="52">
        <v>28595.89</v>
      </c>
      <c r="J26" s="9">
        <f>4713.52-2410.39</f>
        <v>2303.1300000000006</v>
      </c>
      <c r="K26" s="10">
        <f>4686.72-2085.45-300</f>
        <v>2301.2700000000004</v>
      </c>
      <c r="L26" s="10">
        <f>3867.66-2179.63+300</f>
        <v>1988.0299999999997</v>
      </c>
      <c r="M26" s="10">
        <f>4392.22-2176.29</f>
        <v>2215.9300000000003</v>
      </c>
      <c r="N26" s="10">
        <f>4193.56-2462.01+300</f>
        <v>2031.5500000000002</v>
      </c>
      <c r="O26" s="10">
        <f>4885.08-2638.38</f>
        <v>2246.7</v>
      </c>
      <c r="P26" s="10">
        <f>4004.51-1446.96-300</f>
        <v>2257.55</v>
      </c>
      <c r="Q26" s="10">
        <f>5554.84-3759.88+300</f>
        <v>2094.96</v>
      </c>
      <c r="R26" s="10">
        <f>3970.34-1998.59+200</f>
        <v>2171.75</v>
      </c>
      <c r="S26" s="10">
        <f>3812.42-2092.99+500</f>
        <v>2219.4300000000003</v>
      </c>
      <c r="T26" s="10">
        <f>4852.33-2132.18-500</f>
        <v>2220.15</v>
      </c>
      <c r="U26" s="19">
        <f>4642.81-1995.87-500</f>
        <v>2146.9400000000005</v>
      </c>
      <c r="V26" s="62">
        <f t="shared" si="4"/>
        <v>26197.39</v>
      </c>
      <c r="W26" s="31">
        <f t="shared" si="5"/>
        <v>215766.13999999996</v>
      </c>
    </row>
    <row r="27" spans="1:23" ht="13.5" customHeight="1" thickBot="1">
      <c r="A27" s="45" t="s">
        <v>58</v>
      </c>
      <c r="B27" s="40" t="s">
        <v>4</v>
      </c>
      <c r="C27" s="53">
        <v>2002.24</v>
      </c>
      <c r="D27" s="80">
        <v>3847.63</v>
      </c>
      <c r="E27" s="53">
        <v>2613.65</v>
      </c>
      <c r="F27" s="80">
        <v>2309.54</v>
      </c>
      <c r="G27" s="53">
        <v>2307.62</v>
      </c>
      <c r="H27" s="53">
        <v>2364.52</v>
      </c>
      <c r="I27" s="53">
        <v>2266.36</v>
      </c>
      <c r="J27" s="11">
        <v>196.59</v>
      </c>
      <c r="K27" s="12">
        <f>11.25+180.68</f>
        <v>191.93</v>
      </c>
      <c r="L27" s="12">
        <f>11.25+180.68</f>
        <v>191.93</v>
      </c>
      <c r="M27" s="12">
        <f>11.25+180.68</f>
        <v>191.93</v>
      </c>
      <c r="N27" s="12">
        <f>11.25+180.68</f>
        <v>191.93</v>
      </c>
      <c r="O27" s="12">
        <f>11.25+218.44</f>
        <v>229.69</v>
      </c>
      <c r="P27" s="12">
        <f>25.47+218.44</f>
        <v>243.91</v>
      </c>
      <c r="Q27" s="12">
        <f>1.84+183.9</f>
        <v>185.74</v>
      </c>
      <c r="R27" s="12">
        <f>2.05+183.36</f>
        <v>185.41000000000003</v>
      </c>
      <c r="S27" s="12">
        <f>2.05+183.85</f>
        <v>185.9</v>
      </c>
      <c r="T27" s="12">
        <f>1.82+184.08</f>
        <v>185.9</v>
      </c>
      <c r="U27" s="21">
        <f>2.05+183.85</f>
        <v>185.9</v>
      </c>
      <c r="V27" s="62">
        <f t="shared" si="4"/>
        <v>2366.7600000000007</v>
      </c>
      <c r="W27" s="31">
        <f t="shared" si="5"/>
        <v>20078.320000000007</v>
      </c>
    </row>
    <row r="28" spans="1:23" ht="13.5" customHeight="1" thickBot="1">
      <c r="A28" s="45"/>
      <c r="B28" s="42" t="s">
        <v>66</v>
      </c>
      <c r="C28" s="69"/>
      <c r="D28" s="81"/>
      <c r="E28" s="69"/>
      <c r="F28" s="81"/>
      <c r="G28" s="83">
        <f>G8*5%</f>
        <v>3082.92</v>
      </c>
      <c r="H28" s="83">
        <f>H8*5%</f>
        <v>3194.0240000000003</v>
      </c>
      <c r="I28" s="82">
        <f>I8*5%</f>
        <v>3076.9660000000003</v>
      </c>
      <c r="J28" s="82">
        <f>J8*5%</f>
        <v>256.21999999999997</v>
      </c>
      <c r="K28" s="82">
        <f aca="true" t="shared" si="6" ref="K28:U28">K8*5%</f>
        <v>256.21999999999997</v>
      </c>
      <c r="L28" s="82">
        <f t="shared" si="6"/>
        <v>256.21999999999997</v>
      </c>
      <c r="M28" s="82">
        <f t="shared" si="6"/>
        <v>256.21999999999997</v>
      </c>
      <c r="N28" s="82">
        <f t="shared" si="6"/>
        <v>256.21999999999997</v>
      </c>
      <c r="O28" s="82">
        <f t="shared" si="6"/>
        <v>256.21999999999997</v>
      </c>
      <c r="P28" s="82">
        <f t="shared" si="6"/>
        <v>256.21999999999997</v>
      </c>
      <c r="Q28" s="82">
        <f t="shared" si="6"/>
        <v>256.21999999999997</v>
      </c>
      <c r="R28" s="82">
        <f t="shared" si="6"/>
        <v>256.21999999999997</v>
      </c>
      <c r="S28" s="82">
        <f t="shared" si="6"/>
        <v>256.21999999999997</v>
      </c>
      <c r="T28" s="82">
        <f t="shared" si="6"/>
        <v>256.21999999999997</v>
      </c>
      <c r="U28" s="82">
        <f t="shared" si="6"/>
        <v>256.21999999999997</v>
      </c>
      <c r="V28" s="83">
        <f t="shared" si="4"/>
        <v>3074.639999999999</v>
      </c>
      <c r="W28" s="70"/>
    </row>
    <row r="29" spans="1:23" ht="13.5" customHeight="1" thickBot="1">
      <c r="A29" s="45" t="s">
        <v>42</v>
      </c>
      <c r="B29" s="42" t="s">
        <v>54</v>
      </c>
      <c r="C29" s="69"/>
      <c r="D29" s="81"/>
      <c r="E29" s="69"/>
      <c r="F29" s="81"/>
      <c r="G29" s="69"/>
      <c r="H29" s="69"/>
      <c r="I29" s="69"/>
      <c r="J29" s="84">
        <f>SUM(J8+J9-J12)-J28</f>
        <v>473.66999999999945</v>
      </c>
      <c r="K29" s="84">
        <f aca="true" t="shared" si="7" ref="K29:U29">SUM(K8+K9-K12)-K28</f>
        <v>800.4699999999987</v>
      </c>
      <c r="L29" s="84">
        <f t="shared" si="7"/>
        <v>1019.53</v>
      </c>
      <c r="M29" s="84">
        <f t="shared" si="7"/>
        <v>794.9699999999996</v>
      </c>
      <c r="N29" s="84">
        <f t="shared" si="7"/>
        <v>693.6299999999994</v>
      </c>
      <c r="O29" s="84">
        <f t="shared" si="7"/>
        <v>705.5900000000004</v>
      </c>
      <c r="P29" s="84">
        <f t="shared" si="7"/>
        <v>742.5499999999995</v>
      </c>
      <c r="Q29" s="84">
        <f t="shared" si="7"/>
        <v>-835.5200000000002</v>
      </c>
      <c r="R29" s="84">
        <f t="shared" si="7"/>
        <v>848.9799999999998</v>
      </c>
      <c r="S29" s="84">
        <f t="shared" si="7"/>
        <v>706.8999999999999</v>
      </c>
      <c r="T29" s="84">
        <f t="shared" si="7"/>
        <v>666.9799999999998</v>
      </c>
      <c r="U29" s="84">
        <f t="shared" si="7"/>
        <v>876.4199999999994</v>
      </c>
      <c r="V29" s="83">
        <f t="shared" si="4"/>
        <v>7494.169999999994</v>
      </c>
      <c r="W29" s="70"/>
    </row>
    <row r="30" spans="1:23" ht="21" customHeight="1" thickBot="1">
      <c r="A30" s="45" t="s">
        <v>43</v>
      </c>
      <c r="B30" s="41" t="s">
        <v>23</v>
      </c>
      <c r="C30" s="48">
        <v>13127.92</v>
      </c>
      <c r="D30" s="20">
        <f>SUM(D8-D12)</f>
        <v>3244.439999999995</v>
      </c>
      <c r="E30" s="62">
        <f>SUM(E8-E12)</f>
        <v>6007.969999999994</v>
      </c>
      <c r="F30" s="87">
        <f>SUM(F8-F12)</f>
        <v>-15161.94999999999</v>
      </c>
      <c r="G30" s="83">
        <f>SUM(G8-G12)-G28</f>
        <v>-1672.9799999999977</v>
      </c>
      <c r="H30" s="83">
        <f>SUM(H8-H12)-H28</f>
        <v>-650.0639999999939</v>
      </c>
      <c r="I30" s="84">
        <f>SUM(I8-I12)-I28</f>
        <v>-3056.586000000003</v>
      </c>
      <c r="J30" s="84">
        <f>SUM(J8+J9-J12)-J28</f>
        <v>473.66999999999945</v>
      </c>
      <c r="K30" s="85">
        <f>SUM(K29+J30)</f>
        <v>1274.139999999998</v>
      </c>
      <c r="L30" s="85">
        <f aca="true" t="shared" si="8" ref="L30:U30">SUM(L29+K30)</f>
        <v>2293.6699999999983</v>
      </c>
      <c r="M30" s="85">
        <f t="shared" si="8"/>
        <v>3088.6399999999976</v>
      </c>
      <c r="N30" s="85">
        <f t="shared" si="8"/>
        <v>3782.269999999997</v>
      </c>
      <c r="O30" s="85">
        <f t="shared" si="8"/>
        <v>4487.859999999997</v>
      </c>
      <c r="P30" s="85">
        <f t="shared" si="8"/>
        <v>5230.409999999996</v>
      </c>
      <c r="Q30" s="85">
        <f t="shared" si="8"/>
        <v>4394.889999999996</v>
      </c>
      <c r="R30" s="85">
        <f t="shared" si="8"/>
        <v>5243.869999999995</v>
      </c>
      <c r="S30" s="85">
        <f t="shared" si="8"/>
        <v>5950.769999999995</v>
      </c>
      <c r="T30" s="85">
        <f t="shared" si="8"/>
        <v>6617.7499999999945</v>
      </c>
      <c r="U30" s="85">
        <f t="shared" si="8"/>
        <v>7494.169999999994</v>
      </c>
      <c r="V30" s="62"/>
      <c r="W30" s="57"/>
    </row>
    <row r="31" spans="1:23" ht="24.75" customHeight="1" hidden="1" thickBot="1">
      <c r="A31" s="45" t="s">
        <v>44</v>
      </c>
      <c r="B31" s="41" t="s">
        <v>24</v>
      </c>
      <c r="C31" s="48">
        <v>13127.92</v>
      </c>
      <c r="D31" s="20">
        <f>SUM(D8-D12,C31)</f>
        <v>16372.359999999995</v>
      </c>
      <c r="E31" s="62">
        <f>SUM(E8-E12,D31)</f>
        <v>22380.329999999987</v>
      </c>
      <c r="F31" s="87">
        <f>SUM(F8-F12,E31)</f>
        <v>7218.379999999997</v>
      </c>
      <c r="G31" s="83">
        <f>SUM(G30+F31)</f>
        <v>5545.4</v>
      </c>
      <c r="H31" s="83">
        <f>SUM(H30+G31)</f>
        <v>4895.336000000006</v>
      </c>
      <c r="I31" s="83">
        <f>SUM(I30+H31)</f>
        <v>1838.7500000000027</v>
      </c>
      <c r="J31" s="83">
        <f>SUM(J30+I31)</f>
        <v>2312.4200000000023</v>
      </c>
      <c r="K31" s="85">
        <f>SUM(K29+J31)</f>
        <v>3112.8900000000012</v>
      </c>
      <c r="L31" s="85">
        <f>SUM(L29+K31)</f>
        <v>4132.420000000001</v>
      </c>
      <c r="M31" s="85">
        <f aca="true" t="shared" si="9" ref="M31:T31">SUM(M29+L31)</f>
        <v>4927.39</v>
      </c>
      <c r="N31" s="85">
        <f t="shared" si="9"/>
        <v>5621.0199999999995</v>
      </c>
      <c r="O31" s="85">
        <f t="shared" si="9"/>
        <v>6326.61</v>
      </c>
      <c r="P31" s="85">
        <f t="shared" si="9"/>
        <v>7069.159999999999</v>
      </c>
      <c r="Q31" s="85">
        <f t="shared" si="9"/>
        <v>6233.6399999999985</v>
      </c>
      <c r="R31" s="85">
        <f t="shared" si="9"/>
        <v>7082.619999999998</v>
      </c>
      <c r="S31" s="85">
        <f t="shared" si="9"/>
        <v>7789.519999999998</v>
      </c>
      <c r="T31" s="85">
        <f t="shared" si="9"/>
        <v>8456.499999999998</v>
      </c>
      <c r="U31" s="85">
        <f>SUM(U29+T31)+0.08</f>
        <v>9332.999999999998</v>
      </c>
      <c r="V31" s="62"/>
      <c r="W31" s="31"/>
    </row>
    <row r="32" spans="1:23" ht="9.75" customHeight="1" hidden="1" thickBot="1">
      <c r="A32" s="45" t="s">
        <v>45</v>
      </c>
      <c r="B32" s="41" t="s">
        <v>7</v>
      </c>
      <c r="C32" s="48"/>
      <c r="D32" s="48"/>
      <c r="E32" s="73"/>
      <c r="F32" s="73"/>
      <c r="G32" s="73"/>
      <c r="H32" s="73"/>
      <c r="I32" s="73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2"/>
      <c r="V32" s="62"/>
      <c r="W32" s="57"/>
    </row>
    <row r="33" spans="1:23" ht="15" customHeight="1" hidden="1" thickBot="1">
      <c r="A33" s="46" t="s">
        <v>46</v>
      </c>
      <c r="B33" s="42" t="s">
        <v>25</v>
      </c>
      <c r="C33" s="49"/>
      <c r="D33" s="49"/>
      <c r="E33" s="74"/>
      <c r="F33" s="74"/>
      <c r="G33" s="74"/>
      <c r="H33" s="74"/>
      <c r="I33" s="74"/>
      <c r="J33" s="15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23"/>
      <c r="V33" s="63"/>
      <c r="W33" s="57"/>
    </row>
    <row r="34" spans="1:23" ht="0.75" customHeight="1" hidden="1" thickBot="1">
      <c r="A34" s="46" t="s">
        <v>49</v>
      </c>
      <c r="B34" s="43" t="s">
        <v>50</v>
      </c>
      <c r="C34" s="50"/>
      <c r="D34" s="50"/>
      <c r="E34" s="75"/>
      <c r="F34" s="75"/>
      <c r="G34" s="75"/>
      <c r="H34" s="75"/>
      <c r="I34" s="75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>
        <f>SUM(U30-U32)</f>
        <v>7494.169999999994</v>
      </c>
      <c r="V34" s="64"/>
      <c r="W34" s="58"/>
    </row>
    <row r="35" spans="1:23" ht="24" customHeight="1" hidden="1" thickBot="1">
      <c r="A35" s="68" t="s">
        <v>53</v>
      </c>
      <c r="B35" s="43" t="s">
        <v>26</v>
      </c>
      <c r="C35" s="50"/>
      <c r="D35" s="50"/>
      <c r="E35" s="75"/>
      <c r="F35" s="75"/>
      <c r="G35" s="75"/>
      <c r="H35" s="75"/>
      <c r="I35" s="75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>
        <f>SUM(U31-U32)</f>
        <v>9332.999999999998</v>
      </c>
      <c r="V35" s="64"/>
      <c r="W35" s="58"/>
    </row>
    <row r="36" spans="3:23" ht="2.25" customHeight="1" hidden="1">
      <c r="C36" s="25"/>
      <c r="D36" s="25"/>
      <c r="E36" s="25"/>
      <c r="F36" s="25"/>
      <c r="G36" s="25"/>
      <c r="H36" s="25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</row>
    <row r="37" ht="12.75" hidden="1"/>
    <row r="38" ht="2.25" customHeight="1" hidden="1"/>
    <row r="39" ht="12.75" hidden="1"/>
    <row r="40" ht="12.75" hidden="1"/>
    <row r="41" ht="12.75">
      <c r="B41" t="s">
        <v>71</v>
      </c>
    </row>
    <row r="45" ht="12.75" customHeight="1"/>
    <row r="46" ht="12.75" customHeight="1"/>
  </sheetData>
  <sheetProtection/>
  <mergeCells count="5">
    <mergeCell ref="B4:W4"/>
    <mergeCell ref="B5:W5"/>
    <mergeCell ref="B3:W3"/>
    <mergeCell ref="B1:L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2018-02-07T06:33:19Z</cp:lastPrinted>
  <dcterms:created xsi:type="dcterms:W3CDTF">2011-06-16T11:06:26Z</dcterms:created>
  <dcterms:modified xsi:type="dcterms:W3CDTF">2018-02-12T07:29:50Z</dcterms:modified>
  <cp:category/>
  <cp:version/>
  <cp:contentType/>
  <cp:contentStatus/>
</cp:coreProperties>
</file>