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<sst xmlns="http://schemas.openxmlformats.org/spreadsheetml/2006/main" count="79" uniqueCount="78">
  <si>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</si>
  <si>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</si>
  <si>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</si>
  <si>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</si>
  <si>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</si>
  <si>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</si>
  <si>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</si>
  <si>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</si>
  <si>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</si>
  <si>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</si>
  <si>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</si>
  <si>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</si>
  <si>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</si>
  <si>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</si>
  <si>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</si>
  <si>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</si>
  <si>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</si>
  <si>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</si>
  <si>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</si>
  <si>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</si>
  <si>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</si>
  <si>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</si>
  <si>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</si>
  <si>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</si>
  <si>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</si>
  <si>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</si>
  <si>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</si>
  <si>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</si>
  <si>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</si>
  <si>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</si>
  <si>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</si>
  <si>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</si>
  <si>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</si>
  <si>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</si>
  <si>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</si>
  <si>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</si>
  <si>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</si>
  <si>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</si>
  <si>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</si>
  <si>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</si>
  <si>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</si>
  <si>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</si>
  <si>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</si>
  <si>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</si>
  <si>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</si>
  <si>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</si>
  <si>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</si>
  <si>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</si>
  <si>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Комсомольская д.11</t>
  </si>
  <si>
    <t>за 2010 г</t>
  </si>
  <si>
    <t>10</t>
  </si>
  <si>
    <t>Финансовый результат по дому с начала года</t>
  </si>
  <si>
    <t>Итого за 2011 г</t>
  </si>
  <si>
    <t>Результат за месяц</t>
  </si>
  <si>
    <t>Итого за 2012 г</t>
  </si>
  <si>
    <t>Благоустройство территории</t>
  </si>
  <si>
    <t>4.13</t>
  </si>
  <si>
    <t>4.14</t>
  </si>
  <si>
    <t xml:space="preserve">%  оплаты </t>
  </si>
  <si>
    <t>Итого за 2013 г</t>
  </si>
  <si>
    <t>Дом по ул.Комсомольской д. 11 вступил в ООО "Наш дом" с февраля 2010 года            тариф 9,2 руб</t>
  </si>
  <si>
    <t>Итого за 2014 г</t>
  </si>
  <si>
    <t>рентабельность 5%</t>
  </si>
  <si>
    <t xml:space="preserve">Материалы 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</si>
  <si>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</si>
  <si>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</si>
  <si>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</si>
  <si>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</si>
  <si>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</si>
  <si>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Проверка вент.каналов</t>
  </si>
  <si>
    <t>Исполнитель  вед. экономист /Викторова Л.С./</t>
  </si>
  <si>
    <t>Итого за 2016 г</t>
  </si>
  <si>
    <t>Итого за 2017 г</t>
  </si>
  <si>
    <t>Всего за 2010-2017</t>
  </si>
  <si>
    <t>Начислено СОИД</t>
  </si>
  <si>
    <t>Электроэнергия СОИД</t>
  </si>
  <si>
    <t>Горячая вода СОИД</t>
  </si>
  <si>
    <t>Дератизация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</si>
</sst>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88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7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8" xfId="0" applyFont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28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1" fontId="21" fillId="0" borderId="38" xfId="0" applyNumberFormat="1" applyFont="1" applyBorder="1" applyAlignment="1">
      <alignment horizontal="center"/>
    </xf>
    <xf numFmtId="0" fontId="25" fillId="0" borderId="34" xfId="0" applyFont="1" applyBorder="1" applyAlignment="1">
      <alignment/>
    </xf>
    <xf numFmtId="1" fontId="20" fillId="0" borderId="35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/>
    </xf>
    <xf numFmtId="1" fontId="21" fillId="0" borderId="35" xfId="0" applyNumberFormat="1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2" fontId="21" fillId="0" borderId="37" xfId="0" applyNumberFormat="1" applyFont="1" applyBorder="1" applyAlignment="1">
      <alignment horizontal="right" wrapText="1"/>
    </xf>
    <xf numFmtId="0" fontId="26" fillId="0" borderId="34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2" borderId="27" xfId="0" applyFont="1" applyFill="1" applyBorder="1" applyAlignment="1">
      <alignment wrapText="1"/>
    </xf>
    <xf numFmtId="0" fontId="19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0" fontId="26" fillId="0" borderId="28" xfId="0" applyFont="1" applyBorder="1" applyAlignment="1">
      <alignment wrapText="1"/>
    </xf>
    <xf numFmtId="2" fontId="21" fillId="0" borderId="37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0">
      <selection activeCell="P39" sqref="P39"/>
    </sheetView>
  </sheetViews>
  <sheetFormatPr defaultColWidth="9.00390625" defaultRowHeight="12.75"/>
  <cols>
    <col min="1" max="1" width="3.125" style="35" customWidth="1"/>
    <col min="2" max="2" width="20.25390625" style="0" customWidth="1"/>
    <col min="3" max="3" width="9.875" style="0" hidden="1" customWidth="1"/>
    <col min="4" max="4" width="9.125" style="0" hidden="1" customWidth="1"/>
    <col min="5" max="6" width="9.375" style="0" hidden="1" customWidth="1"/>
    <col min="7" max="7" width="9.125" style="0" hidden="1" customWidth="1"/>
    <col min="8" max="8" width="9.25390625" style="0" hidden="1" customWidth="1"/>
    <col min="9" max="9" width="9.125" style="0" hidden="1" customWidth="1"/>
    <col min="10" max="10" width="8.00390625" style="0" customWidth="1"/>
    <col min="11" max="11" width="8.125" style="0" customWidth="1"/>
    <col min="12" max="12" width="8.625" style="0" customWidth="1"/>
    <col min="13" max="13" width="8.375" style="0" customWidth="1"/>
    <col min="14" max="14" width="8.25390625" style="0" customWidth="1"/>
    <col min="15" max="15" width="7.875" style="0" customWidth="1"/>
    <col min="16" max="16" width="9.00390625" style="0" customWidth="1"/>
    <col min="17" max="17" width="9.375" style="0" customWidth="1"/>
    <col min="18" max="18" width="9.00390625" style="0" customWidth="1"/>
    <col min="19" max="19" width="9.125" style="0" customWidth="1"/>
    <col min="20" max="20" width="8.75390625" style="0" customWidth="1"/>
    <col min="21" max="21" width="8.625" style="0" customWidth="1"/>
    <col min="22" max="22" width="9.75390625" style="0" customWidth="1"/>
    <col min="23" max="23" width="0.12890625" style="0" customWidth="1"/>
  </cols>
  <sheetData>
    <row r="1" spans="2:28" ht="12.75" customHeight="1">
      <c r="B1" s="87" t="s">
        <v>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87" t="s">
        <v>60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12.75" customHeight="1">
      <c r="B3" s="86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3"/>
      <c r="Y3" s="3"/>
      <c r="Z3" s="3"/>
      <c r="AA3" s="3"/>
      <c r="AB3" s="3"/>
    </row>
    <row r="4" spans="2:28" ht="15" customHeight="1">
      <c r="B4" s="85" t="s">
        <v>11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2"/>
      <c r="Y4" s="2"/>
      <c r="Z4" s="2"/>
      <c r="AA4" s="2"/>
      <c r="AB4" s="2"/>
    </row>
    <row r="5" spans="2:28" ht="16.5" customHeight="1" thickBot="1">
      <c r="B5" s="85" t="s">
        <v>48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2"/>
      <c r="Y5" s="2"/>
      <c r="Z5" s="2"/>
      <c r="AA5" s="2"/>
      <c r="AB5" s="2"/>
    </row>
    <row r="6" spans="1:28" ht="35.25" customHeight="1" thickBot="1">
      <c r="A6" s="47" t="s">
        <v>28</v>
      </c>
      <c r="B6" s="36" t="s">
        <v>7</v>
      </c>
      <c r="C6" s="50" t="s">
        <v>49</v>
      </c>
      <c r="D6" s="72" t="s">
        <v>52</v>
      </c>
      <c r="E6" s="60" t="s">
        <v>54</v>
      </c>
      <c r="F6" s="60" t="s">
        <v>59</v>
      </c>
      <c r="G6" s="60" t="s">
        <v>61</v>
      </c>
      <c r="H6" s="60" t="s">
        <v>64</v>
      </c>
      <c r="I6" s="60" t="s">
        <v>71</v>
      </c>
      <c r="J6" s="6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20</v>
      </c>
      <c r="S6" s="5" t="s">
        <v>21</v>
      </c>
      <c r="T6" s="5" t="s">
        <v>23</v>
      </c>
      <c r="U6" s="17" t="s">
        <v>22</v>
      </c>
      <c r="V6" s="60" t="s">
        <v>72</v>
      </c>
      <c r="W6" s="24" t="s">
        <v>73</v>
      </c>
      <c r="X6" s="1"/>
      <c r="Y6" s="1"/>
      <c r="Z6" s="1"/>
      <c r="AA6" s="1"/>
      <c r="AB6" s="1"/>
    </row>
    <row r="7" spans="1:23" ht="13.5" thickBot="1">
      <c r="A7" s="48" t="s">
        <v>29</v>
      </c>
      <c r="B7" s="37" t="s">
        <v>1</v>
      </c>
      <c r="C7" s="67">
        <v>98495.2</v>
      </c>
      <c r="D7" s="73">
        <v>107386.1</v>
      </c>
      <c r="E7" s="67">
        <v>107386.08</v>
      </c>
      <c r="F7" s="67">
        <v>107302.36</v>
      </c>
      <c r="G7" s="82">
        <v>107227.84</v>
      </c>
      <c r="H7" s="67">
        <v>107043.84</v>
      </c>
      <c r="I7" s="67">
        <v>107279.36</v>
      </c>
      <c r="J7" s="7">
        <v>8947</v>
      </c>
      <c r="K7" s="8">
        <v>8947</v>
      </c>
      <c r="L7" s="8">
        <v>8947</v>
      </c>
      <c r="M7" s="8">
        <v>8947</v>
      </c>
      <c r="N7" s="8">
        <v>8947</v>
      </c>
      <c r="O7" s="8">
        <v>8947</v>
      </c>
      <c r="P7" s="8">
        <v>8947</v>
      </c>
      <c r="Q7" s="8">
        <v>8947</v>
      </c>
      <c r="R7" s="8">
        <v>8947</v>
      </c>
      <c r="S7" s="8">
        <v>8947</v>
      </c>
      <c r="T7" s="8">
        <v>8947</v>
      </c>
      <c r="U7" s="18">
        <v>8947</v>
      </c>
      <c r="V7" s="61">
        <f>SUM(J7:U7)</f>
        <v>107364</v>
      </c>
      <c r="W7" s="58">
        <f>SUM(C7:U7)</f>
        <v>849484.7799999999</v>
      </c>
    </row>
    <row r="8" spans="1:23" ht="12.75">
      <c r="A8" s="48"/>
      <c r="B8" s="37" t="s">
        <v>74</v>
      </c>
      <c r="C8" s="82"/>
      <c r="D8" s="73"/>
      <c r="E8" s="82"/>
      <c r="F8" s="82"/>
      <c r="G8" s="82"/>
      <c r="H8" s="82"/>
      <c r="I8" s="82">
        <v>0</v>
      </c>
      <c r="J8" s="7">
        <f>483.44+27.71+157.67</f>
        <v>668.8199999999999</v>
      </c>
      <c r="K8" s="8">
        <f>483.32+27.71+157.67</f>
        <v>668.6999999999999</v>
      </c>
      <c r="L8" s="8">
        <f>483.32+27.71+157.67</f>
        <v>668.6999999999999</v>
      </c>
      <c r="M8" s="8">
        <f>483.32+27.71+166.2</f>
        <v>677.23</v>
      </c>
      <c r="N8" s="8">
        <f>483.32+27.71+166.2</f>
        <v>677.23</v>
      </c>
      <c r="O8" s="8">
        <f>1153.2+26.3+29.21+114.25</f>
        <v>1322.96</v>
      </c>
      <c r="P8" s="8">
        <f>26.55+29.55+118.22-853.85</f>
        <v>-679.53</v>
      </c>
      <c r="Q8" s="8">
        <f>149.59+26.55+29.55+118.22</f>
        <v>323.91</v>
      </c>
      <c r="R8" s="8">
        <f>149.59+26.55+29.55+118.22</f>
        <v>323.91</v>
      </c>
      <c r="S8" s="8">
        <f>149.59+26.55+29.55+118.22</f>
        <v>323.91</v>
      </c>
      <c r="T8" s="8">
        <f>149.59+26.55+29.55+118.22</f>
        <v>323.91</v>
      </c>
      <c r="U8" s="18">
        <f>149.59+26.55+29.55+118.22</f>
        <v>323.91</v>
      </c>
      <c r="V8" s="61">
        <f>SUM(J8:U8)</f>
        <v>5623.659999999999</v>
      </c>
      <c r="W8" s="58">
        <f>SUM(C8:U8)</f>
        <v>5623.659999999999</v>
      </c>
    </row>
    <row r="9" spans="1:23" ht="12.75">
      <c r="A9" s="48" t="s">
        <v>30</v>
      </c>
      <c r="B9" s="38" t="s">
        <v>2</v>
      </c>
      <c r="C9" s="68">
        <v>84209.84</v>
      </c>
      <c r="D9" s="74">
        <v>100089.6</v>
      </c>
      <c r="E9" s="68">
        <v>101405.79</v>
      </c>
      <c r="F9" s="68">
        <v>119001.02</v>
      </c>
      <c r="G9" s="68">
        <v>104562.54</v>
      </c>
      <c r="H9" s="68">
        <v>109522.2</v>
      </c>
      <c r="I9" s="68">
        <v>102875.03</v>
      </c>
      <c r="J9" s="9">
        <v>9276.14</v>
      </c>
      <c r="K9" s="10">
        <v>9960.14</v>
      </c>
      <c r="L9" s="10">
        <v>10090.21</v>
      </c>
      <c r="M9" s="10">
        <v>11234.01</v>
      </c>
      <c r="N9" s="10">
        <v>10696.91</v>
      </c>
      <c r="O9" s="10">
        <v>8555.89</v>
      </c>
      <c r="P9" s="10">
        <v>12935.9</v>
      </c>
      <c r="Q9" s="10">
        <v>8379.61</v>
      </c>
      <c r="R9" s="10">
        <v>10171.37</v>
      </c>
      <c r="S9" s="10">
        <v>9620.36</v>
      </c>
      <c r="T9" s="10">
        <v>8516.06</v>
      </c>
      <c r="U9" s="19">
        <v>8233.17</v>
      </c>
      <c r="V9" s="61">
        <f>SUM(J9:U9)</f>
        <v>117669.76999999999</v>
      </c>
      <c r="W9" s="33">
        <f>SUM(C9:U9)</f>
        <v>839335.7900000002</v>
      </c>
    </row>
    <row r="10" spans="1:23" ht="13.5" customHeight="1" thickBot="1">
      <c r="A10" s="48" t="s">
        <v>31</v>
      </c>
      <c r="B10" s="39" t="s">
        <v>58</v>
      </c>
      <c r="C10" s="62">
        <f aca="true" t="shared" si="0" ref="C10:J10">SUM(C9/C7*100)</f>
        <v>85.49638967178096</v>
      </c>
      <c r="D10" s="57">
        <f t="shared" si="0"/>
        <v>93.2053589803522</v>
      </c>
      <c r="E10" s="62">
        <f t="shared" si="0"/>
        <v>94.43103798928128</v>
      </c>
      <c r="F10" s="62">
        <f t="shared" si="0"/>
        <v>110.90251882624018</v>
      </c>
      <c r="G10" s="62">
        <f t="shared" si="0"/>
        <v>97.51435821144956</v>
      </c>
      <c r="H10" s="62">
        <f>SUM(H9/H7*100)</f>
        <v>102.31527568517723</v>
      </c>
      <c r="I10" s="62">
        <f>SUM(I9/I7*100)</f>
        <v>95.8945224878299</v>
      </c>
      <c r="J10" s="26">
        <f t="shared" si="0"/>
        <v>103.6787750083827</v>
      </c>
      <c r="K10" s="26">
        <f aca="true" t="shared" si="1" ref="K10:U10">SUM(K9/K7*100)</f>
        <v>111.3237956857047</v>
      </c>
      <c r="L10" s="26">
        <f t="shared" si="1"/>
        <v>112.7775790767855</v>
      </c>
      <c r="M10" s="26">
        <f t="shared" si="1"/>
        <v>125.56175254275178</v>
      </c>
      <c r="N10" s="26">
        <f t="shared" si="1"/>
        <v>119.55862300212361</v>
      </c>
      <c r="O10" s="26">
        <f t="shared" si="1"/>
        <v>95.62859058902424</v>
      </c>
      <c r="P10" s="26">
        <f t="shared" si="1"/>
        <v>144.58365932714875</v>
      </c>
      <c r="Q10" s="26">
        <f t="shared" si="1"/>
        <v>93.65832122499162</v>
      </c>
      <c r="R10" s="26">
        <f t="shared" si="1"/>
        <v>113.68469878171454</v>
      </c>
      <c r="S10" s="26">
        <f t="shared" si="1"/>
        <v>107.52609813345255</v>
      </c>
      <c r="T10" s="26">
        <f t="shared" si="1"/>
        <v>95.18341343467084</v>
      </c>
      <c r="U10" s="57">
        <f t="shared" si="1"/>
        <v>92.02157147647256</v>
      </c>
      <c r="V10" s="59">
        <f>SUM(V9/V7*100)</f>
        <v>109.59890652360194</v>
      </c>
      <c r="W10" s="59">
        <f>SUM(W9/W7*100)</f>
        <v>98.80527700566928</v>
      </c>
    </row>
    <row r="11" spans="1:23" ht="13.5" thickBot="1">
      <c r="A11" s="48" t="s">
        <v>32</v>
      </c>
      <c r="B11" s="40" t="s">
        <v>3</v>
      </c>
      <c r="C11" s="63">
        <f aca="true" t="shared" si="2" ref="C11:J11">SUM(C12:C25)</f>
        <v>165927.05999999997</v>
      </c>
      <c r="D11" s="20">
        <f t="shared" si="2"/>
        <v>103397.24</v>
      </c>
      <c r="E11" s="63">
        <f t="shared" si="2"/>
        <v>116076.36999999998</v>
      </c>
      <c r="F11" s="63">
        <f t="shared" si="2"/>
        <v>103252.04</v>
      </c>
      <c r="G11" s="63">
        <f t="shared" si="2"/>
        <v>108244.65</v>
      </c>
      <c r="H11" s="63">
        <f>SUM(H12:H25)</f>
        <v>108040.22999999998</v>
      </c>
      <c r="I11" s="63">
        <f>SUM(I12:I25)</f>
        <v>96253.30000000002</v>
      </c>
      <c r="J11" s="13">
        <f t="shared" si="2"/>
        <v>10186.89</v>
      </c>
      <c r="K11" s="13">
        <f aca="true" t="shared" si="3" ref="K11:U11">SUM(K12:K25)</f>
        <v>8185.180000000001</v>
      </c>
      <c r="L11" s="13">
        <f t="shared" si="3"/>
        <v>8959.37</v>
      </c>
      <c r="M11" s="13">
        <f t="shared" si="3"/>
        <v>12807.17</v>
      </c>
      <c r="N11" s="13">
        <f t="shared" si="3"/>
        <v>8984.370000000003</v>
      </c>
      <c r="O11" s="13">
        <f t="shared" si="3"/>
        <v>9458.919999999998</v>
      </c>
      <c r="P11" s="13">
        <f t="shared" si="3"/>
        <v>9563.05</v>
      </c>
      <c r="Q11" s="13">
        <f t="shared" si="3"/>
        <v>15979.12</v>
      </c>
      <c r="R11" s="13">
        <f t="shared" si="3"/>
        <v>7892.25</v>
      </c>
      <c r="S11" s="13">
        <f t="shared" si="3"/>
        <v>8349.81</v>
      </c>
      <c r="T11" s="13">
        <f t="shared" si="3"/>
        <v>8476.1</v>
      </c>
      <c r="U11" s="20">
        <f t="shared" si="3"/>
        <v>8447.31</v>
      </c>
      <c r="V11" s="63">
        <f>SUM(J11:U11)</f>
        <v>117289.54</v>
      </c>
      <c r="W11" s="34">
        <f>SUM(C11:U11)</f>
        <v>918480.4300000003</v>
      </c>
    </row>
    <row r="12" spans="1:23" ht="13.5" thickBot="1">
      <c r="A12" s="48" t="s">
        <v>33</v>
      </c>
      <c r="B12" s="41" t="s">
        <v>5</v>
      </c>
      <c r="C12" s="54">
        <v>18508.84</v>
      </c>
      <c r="D12" s="75">
        <v>20758.84</v>
      </c>
      <c r="E12" s="54">
        <v>21510.23</v>
      </c>
      <c r="F12" s="54">
        <v>23897.23</v>
      </c>
      <c r="G12" s="54">
        <v>24525.34</v>
      </c>
      <c r="H12" s="54">
        <v>23133.35</v>
      </c>
      <c r="I12" s="54">
        <v>23207.25</v>
      </c>
      <c r="J12" s="7">
        <f>1908+23.52</f>
        <v>1931.52</v>
      </c>
      <c r="K12" s="8">
        <f>1908+110.54</f>
        <v>2018.54</v>
      </c>
      <c r="L12" s="8">
        <f>1908+64.91</f>
        <v>1972.91</v>
      </c>
      <c r="M12" s="8">
        <f>1908+205.7</f>
        <v>2113.7</v>
      </c>
      <c r="N12" s="8">
        <f>1908+102.67</f>
        <v>2010.67</v>
      </c>
      <c r="O12" s="8">
        <f>1908+62.76</f>
        <v>1970.76</v>
      </c>
      <c r="P12" s="8">
        <f>1908+98.87</f>
        <v>2006.87</v>
      </c>
      <c r="Q12" s="8">
        <f>1908+114.96</f>
        <v>2022.96</v>
      </c>
      <c r="R12" s="8">
        <f>1908+118.91</f>
        <v>2026.91</v>
      </c>
      <c r="S12" s="8">
        <f>1855+120.45</f>
        <v>1975.45</v>
      </c>
      <c r="T12" s="8">
        <f>1855+105.26</f>
        <v>1960.26</v>
      </c>
      <c r="U12" s="18">
        <f>1855+105.46</f>
        <v>1960.46</v>
      </c>
      <c r="V12" s="63">
        <f aca="true" t="shared" si="4" ref="V12:V27">SUM(J12:U12)</f>
        <v>23971.01</v>
      </c>
      <c r="W12" s="34">
        <f aca="true" t="shared" si="5" ref="W12:W25">SUM(C12:U12)</f>
        <v>179512.09000000003</v>
      </c>
    </row>
    <row r="13" spans="1:23" ht="14.25" customHeight="1" thickBot="1">
      <c r="A13" s="48" t="s">
        <v>34</v>
      </c>
      <c r="B13" s="42" t="s">
        <v>65</v>
      </c>
      <c r="C13" s="55">
        <v>22259.67</v>
      </c>
      <c r="D13" s="76">
        <v>9791.87</v>
      </c>
      <c r="E13" s="55">
        <v>1611.03</v>
      </c>
      <c r="F13" s="55">
        <v>8467.6</v>
      </c>
      <c r="G13" s="55">
        <v>787</v>
      </c>
      <c r="H13" s="55">
        <v>1788.46</v>
      </c>
      <c r="I13" s="55">
        <v>59.54</v>
      </c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9"/>
      <c r="V13" s="63">
        <f t="shared" si="4"/>
        <v>0</v>
      </c>
      <c r="W13" s="34">
        <f t="shared" si="5"/>
        <v>44765.17</v>
      </c>
    </row>
    <row r="14" spans="1:23" ht="13.5" customHeight="1" thickBot="1">
      <c r="A14" s="48" t="s">
        <v>35</v>
      </c>
      <c r="B14" s="39" t="s">
        <v>6</v>
      </c>
      <c r="C14" s="55">
        <v>0</v>
      </c>
      <c r="D14" s="76">
        <v>2842.27</v>
      </c>
      <c r="E14" s="55">
        <v>0</v>
      </c>
      <c r="F14" s="55">
        <v>0</v>
      </c>
      <c r="G14" s="55">
        <v>3565</v>
      </c>
      <c r="H14" s="55">
        <v>0</v>
      </c>
      <c r="I14" s="55">
        <v>0</v>
      </c>
      <c r="J14" s="9"/>
      <c r="K14" s="10"/>
      <c r="L14" s="10"/>
      <c r="M14" s="10">
        <v>3908.1</v>
      </c>
      <c r="N14" s="10"/>
      <c r="O14" s="10"/>
      <c r="P14" s="10"/>
      <c r="Q14" s="10"/>
      <c r="R14" s="10"/>
      <c r="S14" s="10"/>
      <c r="T14" s="10"/>
      <c r="U14" s="19"/>
      <c r="V14" s="63">
        <f t="shared" si="4"/>
        <v>3908.1</v>
      </c>
      <c r="W14" s="34">
        <f t="shared" si="5"/>
        <v>10315.37</v>
      </c>
    </row>
    <row r="15" spans="1:23" ht="12" customHeight="1" thickBot="1">
      <c r="A15" s="48"/>
      <c r="B15" s="39" t="s">
        <v>69</v>
      </c>
      <c r="C15" s="55"/>
      <c r="D15" s="76"/>
      <c r="E15" s="55"/>
      <c r="F15" s="55"/>
      <c r="G15" s="55"/>
      <c r="H15" s="55">
        <v>1000</v>
      </c>
      <c r="I15" s="55">
        <v>1000</v>
      </c>
      <c r="J15" s="9"/>
      <c r="K15" s="10"/>
      <c r="L15" s="10"/>
      <c r="M15" s="10"/>
      <c r="N15" s="10"/>
      <c r="O15" s="10"/>
      <c r="P15" s="10">
        <v>900</v>
      </c>
      <c r="Q15" s="10"/>
      <c r="R15" s="10"/>
      <c r="S15" s="10"/>
      <c r="T15" s="10"/>
      <c r="U15" s="19"/>
      <c r="V15" s="63">
        <f>SUM(J15:U15)</f>
        <v>900</v>
      </c>
      <c r="W15" s="34">
        <f>SUM(C15:U15)</f>
        <v>2900</v>
      </c>
    </row>
    <row r="16" spans="1:23" ht="14.25" customHeight="1" thickBot="1">
      <c r="A16" s="48" t="s">
        <v>36</v>
      </c>
      <c r="B16" s="42" t="s">
        <v>63</v>
      </c>
      <c r="C16" s="55">
        <v>60741.35</v>
      </c>
      <c r="D16" s="76">
        <v>6984.07</v>
      </c>
      <c r="E16" s="55">
        <v>22631.76</v>
      </c>
      <c r="F16" s="55">
        <v>386.09</v>
      </c>
      <c r="G16" s="55">
        <v>9808.61</v>
      </c>
      <c r="H16" s="55">
        <v>6669.45</v>
      </c>
      <c r="I16" s="55">
        <v>4990.09</v>
      </c>
      <c r="J16" s="9">
        <v>1489</v>
      </c>
      <c r="K16" s="10">
        <v>46.42</v>
      </c>
      <c r="L16" s="10"/>
      <c r="M16" s="10"/>
      <c r="N16" s="10"/>
      <c r="O16" s="10"/>
      <c r="P16" s="10">
        <v>820.11</v>
      </c>
      <c r="Q16" s="10">
        <f>7430.7+95</f>
        <v>7525.7</v>
      </c>
      <c r="R16" s="10">
        <v>361.4</v>
      </c>
      <c r="S16" s="10"/>
      <c r="T16" s="10"/>
      <c r="U16" s="19">
        <v>158</v>
      </c>
      <c r="V16" s="63">
        <f t="shared" si="4"/>
        <v>10400.63</v>
      </c>
      <c r="W16" s="34">
        <f t="shared" si="5"/>
        <v>122612.04999999997</v>
      </c>
    </row>
    <row r="17" spans="1:23" ht="21.75" customHeight="1" thickBot="1">
      <c r="A17" s="48" t="s">
        <v>37</v>
      </c>
      <c r="B17" s="42" t="s">
        <v>55</v>
      </c>
      <c r="C17" s="55">
        <v>0</v>
      </c>
      <c r="D17" s="76">
        <v>0</v>
      </c>
      <c r="E17" s="55">
        <v>256</v>
      </c>
      <c r="F17" s="55">
        <v>0</v>
      </c>
      <c r="G17" s="55">
        <v>660.61</v>
      </c>
      <c r="H17" s="55">
        <v>0</v>
      </c>
      <c r="I17" s="55">
        <v>186</v>
      </c>
      <c r="J17" s="9">
        <v>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9">
        <v>74.25</v>
      </c>
      <c r="V17" s="63">
        <f t="shared" si="4"/>
        <v>82.25</v>
      </c>
      <c r="W17" s="34">
        <f t="shared" si="5"/>
        <v>1184.8600000000001</v>
      </c>
    </row>
    <row r="18" spans="1:23" ht="16.5" customHeight="1" thickBot="1">
      <c r="A18" s="48" t="s">
        <v>38</v>
      </c>
      <c r="B18" s="42" t="s">
        <v>75</v>
      </c>
      <c r="C18" s="55">
        <v>4590.7</v>
      </c>
      <c r="D18" s="76">
        <v>4724.02</v>
      </c>
      <c r="E18" s="55">
        <v>2790.68</v>
      </c>
      <c r="F18" s="55">
        <v>0</v>
      </c>
      <c r="G18" s="55"/>
      <c r="H18" s="55">
        <v>0</v>
      </c>
      <c r="I18" s="55">
        <v>0</v>
      </c>
      <c r="J18" s="9">
        <v>483.44</v>
      </c>
      <c r="K18" s="10">
        <v>483.32</v>
      </c>
      <c r="L18" s="10">
        <v>483.32</v>
      </c>
      <c r="M18" s="10">
        <v>483.32</v>
      </c>
      <c r="N18" s="10">
        <v>483.32</v>
      </c>
      <c r="O18" s="10">
        <v>1153.2</v>
      </c>
      <c r="P18" s="10">
        <v>-853.85</v>
      </c>
      <c r="Q18" s="10">
        <v>149.59</v>
      </c>
      <c r="R18" s="10">
        <v>149.59</v>
      </c>
      <c r="S18" s="10">
        <v>149.59</v>
      </c>
      <c r="T18" s="10">
        <v>149.59</v>
      </c>
      <c r="U18" s="19">
        <v>149.59</v>
      </c>
      <c r="V18" s="63">
        <f t="shared" si="4"/>
        <v>3464.020000000001</v>
      </c>
      <c r="W18" s="34">
        <f t="shared" si="5"/>
        <v>15569.420000000002</v>
      </c>
    </row>
    <row r="19" spans="1:23" ht="16.5" customHeight="1" thickBot="1">
      <c r="A19" s="48"/>
      <c r="B19" s="42" t="s">
        <v>76</v>
      </c>
      <c r="C19" s="55"/>
      <c r="D19" s="76"/>
      <c r="E19" s="55"/>
      <c r="F19" s="55"/>
      <c r="G19" s="55"/>
      <c r="H19" s="55"/>
      <c r="I19" s="55"/>
      <c r="J19" s="9"/>
      <c r="K19" s="10"/>
      <c r="L19" s="10">
        <f>332.26+166.13</f>
        <v>498.39</v>
      </c>
      <c r="M19" s="10">
        <v>166.13</v>
      </c>
      <c r="N19" s="10">
        <v>166.13</v>
      </c>
      <c r="O19" s="10">
        <v>103.63</v>
      </c>
      <c r="P19" s="10">
        <v>72.37</v>
      </c>
      <c r="Q19" s="10">
        <v>118.22</v>
      </c>
      <c r="R19" s="10">
        <v>118.2</v>
      </c>
      <c r="S19" s="10">
        <v>118.2</v>
      </c>
      <c r="T19" s="10">
        <v>118.2</v>
      </c>
      <c r="U19" s="19">
        <v>118.2</v>
      </c>
      <c r="V19" s="63">
        <f>SUM(J19:U19)</f>
        <v>1597.67</v>
      </c>
      <c r="W19" s="34">
        <f>SUM(C19:U19)</f>
        <v>1597.67</v>
      </c>
    </row>
    <row r="20" spans="1:23" ht="15" customHeight="1" thickBot="1">
      <c r="A20" s="48" t="s">
        <v>39</v>
      </c>
      <c r="B20" s="42" t="s">
        <v>77</v>
      </c>
      <c r="C20" s="55">
        <v>489.65</v>
      </c>
      <c r="D20" s="76">
        <v>398.91</v>
      </c>
      <c r="E20" s="55">
        <v>236.59</v>
      </c>
      <c r="F20" s="55">
        <v>419.02</v>
      </c>
      <c r="G20" s="55">
        <v>694.38</v>
      </c>
      <c r="H20" s="55">
        <v>647.23</v>
      </c>
      <c r="I20" s="55">
        <v>488.75</v>
      </c>
      <c r="J20" s="9">
        <v>162.9</v>
      </c>
      <c r="K20" s="10"/>
      <c r="L20" s="10"/>
      <c r="M20" s="10">
        <v>190.1</v>
      </c>
      <c r="N20" s="10"/>
      <c r="O20" s="10">
        <v>203.62</v>
      </c>
      <c r="P20" s="10"/>
      <c r="Q20" s="10"/>
      <c r="R20" s="10">
        <v>176.5</v>
      </c>
      <c r="S20" s="10"/>
      <c r="T20" s="10"/>
      <c r="U20" s="19">
        <v>189.7</v>
      </c>
      <c r="V20" s="63">
        <f t="shared" si="4"/>
        <v>922.8199999999999</v>
      </c>
      <c r="W20" s="34">
        <f t="shared" si="5"/>
        <v>4297.349999999999</v>
      </c>
    </row>
    <row r="21" spans="1:23" ht="34.5" customHeight="1" thickBot="1">
      <c r="A21" s="48" t="s">
        <v>40</v>
      </c>
      <c r="B21" s="42" t="s">
        <v>66</v>
      </c>
      <c r="C21" s="55">
        <v>1325.34</v>
      </c>
      <c r="D21" s="76">
        <v>4722.97</v>
      </c>
      <c r="E21" s="55">
        <v>7531.96</v>
      </c>
      <c r="F21" s="55">
        <v>6077.97</v>
      </c>
      <c r="G21" s="55">
        <v>3857.59</v>
      </c>
      <c r="H21" s="55">
        <v>4659.88</v>
      </c>
      <c r="I21" s="55">
        <v>4939.24</v>
      </c>
      <c r="J21" s="9">
        <v>418.46</v>
      </c>
      <c r="K21" s="10">
        <v>391.27</v>
      </c>
      <c r="L21" s="10">
        <v>486.41</v>
      </c>
      <c r="M21" s="10">
        <v>361.5</v>
      </c>
      <c r="N21" s="10">
        <v>384.99</v>
      </c>
      <c r="O21" s="10">
        <v>432.95</v>
      </c>
      <c r="P21" s="10">
        <v>350.89</v>
      </c>
      <c r="Q21" s="10">
        <v>405.87</v>
      </c>
      <c r="R21" s="10">
        <v>381.76</v>
      </c>
      <c r="S21" s="10">
        <v>487.07</v>
      </c>
      <c r="T21" s="10">
        <v>503.82</v>
      </c>
      <c r="U21" s="19">
        <v>416.33</v>
      </c>
      <c r="V21" s="63">
        <f t="shared" si="4"/>
        <v>5021.319999999999</v>
      </c>
      <c r="W21" s="34">
        <f t="shared" si="5"/>
        <v>38136.270000000004</v>
      </c>
    </row>
    <row r="22" spans="1:23" ht="21" customHeight="1" thickBot="1">
      <c r="A22" s="48" t="s">
        <v>41</v>
      </c>
      <c r="B22" s="42" t="s">
        <v>67</v>
      </c>
      <c r="C22" s="55">
        <v>2342.91</v>
      </c>
      <c r="D22" s="76">
        <v>2571.18</v>
      </c>
      <c r="E22" s="55">
        <v>771.22</v>
      </c>
      <c r="F22" s="55">
        <v>547.81</v>
      </c>
      <c r="G22" s="55">
        <v>1190.62</v>
      </c>
      <c r="H22" s="55">
        <v>803.09</v>
      </c>
      <c r="I22" s="55">
        <v>702.68</v>
      </c>
      <c r="J22" s="9">
        <v>91.96</v>
      </c>
      <c r="K22" s="10">
        <v>28.3</v>
      </c>
      <c r="L22" s="10">
        <v>30.37</v>
      </c>
      <c r="M22" s="10">
        <v>28.09</v>
      </c>
      <c r="N22" s="10">
        <v>27.26</v>
      </c>
      <c r="O22" s="10">
        <v>42.38</v>
      </c>
      <c r="P22" s="10">
        <v>39.81</v>
      </c>
      <c r="Q22" s="10">
        <v>122.58</v>
      </c>
      <c r="R22" s="10">
        <v>28.61</v>
      </c>
      <c r="S22" s="10">
        <v>42.3</v>
      </c>
      <c r="T22" s="10">
        <v>28.61</v>
      </c>
      <c r="U22" s="19">
        <v>39</v>
      </c>
      <c r="V22" s="63">
        <f t="shared" si="4"/>
        <v>549.27</v>
      </c>
      <c r="W22" s="34">
        <f t="shared" si="5"/>
        <v>9478.779999999999</v>
      </c>
    </row>
    <row r="23" spans="1:23" ht="34.5" customHeight="1" thickBot="1">
      <c r="A23" s="48" t="s">
        <v>42</v>
      </c>
      <c r="B23" s="42" t="s">
        <v>68</v>
      </c>
      <c r="C23" s="55">
        <v>3355.17</v>
      </c>
      <c r="D23" s="76">
        <v>4193.42</v>
      </c>
      <c r="E23" s="55">
        <v>4008.79</v>
      </c>
      <c r="F23" s="55">
        <v>5373.8</v>
      </c>
      <c r="G23" s="55">
        <v>4615.95</v>
      </c>
      <c r="H23" s="55">
        <v>5958.54</v>
      </c>
      <c r="I23" s="55">
        <v>5138.72</v>
      </c>
      <c r="J23" s="9">
        <f>18.44+128.47+210.29</f>
        <v>357.2</v>
      </c>
      <c r="K23" s="10">
        <f>18.36+152.23+128.95</f>
        <v>299.53999999999996</v>
      </c>
      <c r="L23" s="10">
        <f>18.09+169.2+226.48</f>
        <v>413.77</v>
      </c>
      <c r="M23" s="10">
        <f>17.07+155.08+218</f>
        <v>390.15</v>
      </c>
      <c r="N23" s="10">
        <f>17.54+188.06+533.3</f>
        <v>738.9</v>
      </c>
      <c r="O23" s="10">
        <f>259.11+20.58+154.01</f>
        <v>433.7</v>
      </c>
      <c r="P23" s="10">
        <f>22.52+135.54+241.98</f>
        <v>400.03999999999996</v>
      </c>
      <c r="Q23" s="10">
        <f>24.41+125.07+288.41</f>
        <v>437.89</v>
      </c>
      <c r="R23" s="10">
        <f>247.61+19.63+158.61</f>
        <v>425.85</v>
      </c>
      <c r="S23" s="10">
        <f>25.21+179.25+261.48</f>
        <v>465.94000000000005</v>
      </c>
      <c r="T23" s="10">
        <f>23.14+208.88+412.76</f>
        <v>644.78</v>
      </c>
      <c r="U23" s="19">
        <f>23.84+210.46+175.12</f>
        <v>409.42</v>
      </c>
      <c r="V23" s="63">
        <f t="shared" si="4"/>
        <v>5417.179999999999</v>
      </c>
      <c r="W23" s="34">
        <f t="shared" si="5"/>
        <v>38061.57</v>
      </c>
    </row>
    <row r="24" spans="1:23" ht="15.75" customHeight="1" thickBot="1">
      <c r="A24" s="48" t="s">
        <v>56</v>
      </c>
      <c r="B24" s="42" t="s">
        <v>10</v>
      </c>
      <c r="C24" s="55">
        <v>48934.91</v>
      </c>
      <c r="D24" s="76">
        <v>39931.2</v>
      </c>
      <c r="E24" s="55">
        <v>50354.57</v>
      </c>
      <c r="F24" s="55">
        <v>53092.6</v>
      </c>
      <c r="G24" s="55">
        <v>54410.08</v>
      </c>
      <c r="H24" s="55">
        <v>59244.67</v>
      </c>
      <c r="I24" s="55">
        <v>51656.46</v>
      </c>
      <c r="J24" s="9">
        <f>10186.89-5292.75</f>
        <v>4894.139999999999</v>
      </c>
      <c r="K24" s="10">
        <f>8185.18-3643.48</f>
        <v>4541.700000000001</v>
      </c>
      <c r="L24" s="10">
        <f>8959.37-4266.17</f>
        <v>4693.200000000001</v>
      </c>
      <c r="M24" s="10">
        <f>12807.17-8065.29</f>
        <v>4741.88</v>
      </c>
      <c r="N24" s="10">
        <f>8984.37-4215.19</f>
        <v>4769.180000000001</v>
      </c>
      <c r="O24" s="10">
        <f>9458.92-4663.31</f>
        <v>4795.61</v>
      </c>
      <c r="P24" s="10">
        <f>9563.05-4224.7</f>
        <v>5338.349999999999</v>
      </c>
      <c r="Q24" s="10">
        <f>15979.12-11099.23</f>
        <v>4879.890000000001</v>
      </c>
      <c r="R24" s="10">
        <f>7892.25-4052.89</f>
        <v>3839.36</v>
      </c>
      <c r="S24" s="10">
        <f>8349.81-3601.81</f>
        <v>4748</v>
      </c>
      <c r="T24" s="10">
        <f>8476.1-3726.83</f>
        <v>4749.27</v>
      </c>
      <c r="U24" s="19">
        <f>8447.31-3825.84</f>
        <v>4621.469999999999</v>
      </c>
      <c r="V24" s="63">
        <f t="shared" si="4"/>
        <v>56612.05</v>
      </c>
      <c r="W24" s="34">
        <f t="shared" si="5"/>
        <v>414236.54</v>
      </c>
    </row>
    <row r="25" spans="1:23" ht="13.5" customHeight="1" thickBot="1">
      <c r="A25" s="48" t="s">
        <v>57</v>
      </c>
      <c r="B25" s="43" t="s">
        <v>4</v>
      </c>
      <c r="C25" s="56">
        <v>3378.52</v>
      </c>
      <c r="D25" s="77">
        <v>6478.49</v>
      </c>
      <c r="E25" s="56">
        <v>4373.54</v>
      </c>
      <c r="F25" s="56">
        <v>4989.92</v>
      </c>
      <c r="G25" s="56">
        <v>4129.47</v>
      </c>
      <c r="H25" s="56">
        <v>4135.56</v>
      </c>
      <c r="I25" s="56">
        <v>3884.57</v>
      </c>
      <c r="J25" s="11">
        <v>350.27</v>
      </c>
      <c r="K25" s="12">
        <f>20.85+355.24</f>
        <v>376.09000000000003</v>
      </c>
      <c r="L25" s="12">
        <f>23.85+357.15</f>
        <v>381</v>
      </c>
      <c r="M25" s="12">
        <f>22.97+401.23</f>
        <v>424.20000000000005</v>
      </c>
      <c r="N25" s="12">
        <f>23.98+379.94</f>
        <v>403.92</v>
      </c>
      <c r="O25" s="12">
        <f>20.08+302.99</f>
        <v>323.07</v>
      </c>
      <c r="P25" s="12">
        <f>53.59+434.87</f>
        <v>488.46000000000004</v>
      </c>
      <c r="Q25" s="12">
        <f>5.33+311.09</f>
        <v>316.41999999999996</v>
      </c>
      <c r="R25" s="12">
        <f>5.9+378.17</f>
        <v>384.07</v>
      </c>
      <c r="S25" s="12">
        <f>3.54+359.72</f>
        <v>363.26000000000005</v>
      </c>
      <c r="T25" s="12">
        <f>8.31+313.26</f>
        <v>321.57</v>
      </c>
      <c r="U25" s="21">
        <f>6.59+304.3</f>
        <v>310.89</v>
      </c>
      <c r="V25" s="63">
        <f t="shared" si="4"/>
        <v>4443.220000000001</v>
      </c>
      <c r="W25" s="34">
        <f t="shared" si="5"/>
        <v>35813.29</v>
      </c>
    </row>
    <row r="26" spans="1:23" ht="13.5" customHeight="1" thickBot="1">
      <c r="A26" s="48"/>
      <c r="B26" s="45" t="s">
        <v>62</v>
      </c>
      <c r="C26" s="66"/>
      <c r="D26" s="78"/>
      <c r="E26" s="66"/>
      <c r="F26" s="66"/>
      <c r="G26" s="79">
        <f>G7*5%</f>
        <v>5361.392</v>
      </c>
      <c r="H26" s="79">
        <f>H7*5%</f>
        <v>5352.192</v>
      </c>
      <c r="I26" s="83">
        <f>I7*5%</f>
        <v>5363.968000000001</v>
      </c>
      <c r="J26" s="80">
        <f>J7*5%</f>
        <v>447.35</v>
      </c>
      <c r="K26" s="79">
        <f aca="true" t="shared" si="6" ref="K26:U26">K7*5%</f>
        <v>447.35</v>
      </c>
      <c r="L26" s="80">
        <f t="shared" si="6"/>
        <v>447.35</v>
      </c>
      <c r="M26" s="79">
        <f t="shared" si="6"/>
        <v>447.35</v>
      </c>
      <c r="N26" s="80">
        <f t="shared" si="6"/>
        <v>447.35</v>
      </c>
      <c r="O26" s="79">
        <f t="shared" si="6"/>
        <v>447.35</v>
      </c>
      <c r="P26" s="80">
        <f t="shared" si="6"/>
        <v>447.35</v>
      </c>
      <c r="Q26" s="79">
        <f t="shared" si="6"/>
        <v>447.35</v>
      </c>
      <c r="R26" s="80">
        <f t="shared" si="6"/>
        <v>447.35</v>
      </c>
      <c r="S26" s="79">
        <f t="shared" si="6"/>
        <v>447.35</v>
      </c>
      <c r="T26" s="80">
        <f t="shared" si="6"/>
        <v>447.35</v>
      </c>
      <c r="U26" s="79">
        <f t="shared" si="6"/>
        <v>447.35</v>
      </c>
      <c r="V26" s="79">
        <f t="shared" si="4"/>
        <v>5368.200000000001</v>
      </c>
      <c r="W26" s="34"/>
    </row>
    <row r="27" spans="1:23" ht="17.25" customHeight="1" thickBot="1">
      <c r="A27" s="48" t="s">
        <v>43</v>
      </c>
      <c r="B27" s="45" t="s">
        <v>53</v>
      </c>
      <c r="C27" s="66"/>
      <c r="D27" s="78"/>
      <c r="E27" s="66"/>
      <c r="F27" s="66"/>
      <c r="G27" s="66"/>
      <c r="H27" s="66"/>
      <c r="I27" s="66"/>
      <c r="J27" s="79">
        <f>SUM(J7+J8-J11)-J26</f>
        <v>-1018.4199999999997</v>
      </c>
      <c r="K27" s="81">
        <f aca="true" t="shared" si="7" ref="K27:U27">SUM(K7+K8-K11)-K26</f>
        <v>983.1699999999995</v>
      </c>
      <c r="L27" s="79">
        <f t="shared" si="7"/>
        <v>208.9799999999999</v>
      </c>
      <c r="M27" s="81">
        <f t="shared" si="7"/>
        <v>-3630.2900000000004</v>
      </c>
      <c r="N27" s="79">
        <f t="shared" si="7"/>
        <v>192.50999999999692</v>
      </c>
      <c r="O27" s="79">
        <f t="shared" si="7"/>
        <v>363.69000000000085</v>
      </c>
      <c r="P27" s="81">
        <f t="shared" si="7"/>
        <v>-1742.9299999999998</v>
      </c>
      <c r="Q27" s="79">
        <f t="shared" si="7"/>
        <v>-7155.560000000001</v>
      </c>
      <c r="R27" s="81">
        <f t="shared" si="7"/>
        <v>931.3099999999998</v>
      </c>
      <c r="S27" s="79">
        <f t="shared" si="7"/>
        <v>473.75000000000034</v>
      </c>
      <c r="T27" s="81">
        <f t="shared" si="7"/>
        <v>347.45999999999947</v>
      </c>
      <c r="U27" s="79">
        <f t="shared" si="7"/>
        <v>376.25000000000034</v>
      </c>
      <c r="V27" s="79">
        <f t="shared" si="4"/>
        <v>-9670.080000000005</v>
      </c>
      <c r="W27" s="34"/>
    </row>
    <row r="28" spans="1:23" ht="29.25" customHeight="1" thickBot="1">
      <c r="A28" s="48" t="s">
        <v>44</v>
      </c>
      <c r="B28" s="51" t="s">
        <v>24</v>
      </c>
      <c r="C28" s="51">
        <v>-67431.87</v>
      </c>
      <c r="D28" s="20">
        <f>SUM(D7-D11)</f>
        <v>3988.8600000000006</v>
      </c>
      <c r="E28" s="63">
        <f>SUM(E7-E11)</f>
        <v>-8690.289999999979</v>
      </c>
      <c r="F28" s="63">
        <f>SUM(F7-F11)</f>
        <v>4050.320000000007</v>
      </c>
      <c r="G28" s="79">
        <f>SUM(G7-G11)-G26</f>
        <v>-6378.2019999999975</v>
      </c>
      <c r="H28" s="79">
        <f>SUM(H7-H11)-H26</f>
        <v>-6348.581999999985</v>
      </c>
      <c r="I28" s="79">
        <f>SUM(I7-I11)-I26</f>
        <v>5662.091999999982</v>
      </c>
      <c r="J28" s="81">
        <f>SUM(J7+J8-J11)-J26</f>
        <v>-1018.4199999999997</v>
      </c>
      <c r="K28" s="79">
        <f>SUM(K27+J28)</f>
        <v>-35.25000000000023</v>
      </c>
      <c r="L28" s="81">
        <f aca="true" t="shared" si="8" ref="L28:U28">SUM(L27+K28)</f>
        <v>173.72999999999968</v>
      </c>
      <c r="M28" s="79">
        <f t="shared" si="8"/>
        <v>-3456.560000000001</v>
      </c>
      <c r="N28" s="81">
        <f t="shared" si="8"/>
        <v>-3264.050000000004</v>
      </c>
      <c r="O28" s="79">
        <f t="shared" si="8"/>
        <v>-2900.360000000003</v>
      </c>
      <c r="P28" s="81">
        <f t="shared" si="8"/>
        <v>-4643.290000000003</v>
      </c>
      <c r="Q28" s="79">
        <f t="shared" si="8"/>
        <v>-11798.850000000004</v>
      </c>
      <c r="R28" s="81">
        <f t="shared" si="8"/>
        <v>-10867.540000000005</v>
      </c>
      <c r="S28" s="79">
        <f t="shared" si="8"/>
        <v>-10393.790000000005</v>
      </c>
      <c r="T28" s="81">
        <f t="shared" si="8"/>
        <v>-10046.330000000005</v>
      </c>
      <c r="U28" s="79">
        <f t="shared" si="8"/>
        <v>-9670.080000000005</v>
      </c>
      <c r="V28" s="63"/>
      <c r="W28" s="25"/>
    </row>
    <row r="29" spans="1:23" ht="22.5" customHeight="1" hidden="1" thickBot="1">
      <c r="A29" s="48" t="s">
        <v>45</v>
      </c>
      <c r="B29" s="44" t="s">
        <v>25</v>
      </c>
      <c r="C29" s="51">
        <v>-67431.87</v>
      </c>
      <c r="D29" s="20">
        <f>SUM(D7-D11,C29)</f>
        <v>-63443.009999999995</v>
      </c>
      <c r="E29" s="63">
        <f>SUM(E7-E11,D29)</f>
        <v>-72133.29999999997</v>
      </c>
      <c r="F29" s="63">
        <f>SUM(F7-F11,E29)</f>
        <v>-68082.97999999997</v>
      </c>
      <c r="G29" s="79">
        <f>SUM(G28+F29)</f>
        <v>-74461.18199999997</v>
      </c>
      <c r="H29" s="79">
        <f>SUM(H28+G29)</f>
        <v>-80809.76399999995</v>
      </c>
      <c r="I29" s="79">
        <f>SUM(I28+H29)</f>
        <v>-75147.67199999996</v>
      </c>
      <c r="J29" s="84">
        <f>SUM(J28+I29)</f>
        <v>-76166.09199999996</v>
      </c>
      <c r="K29" s="79">
        <f>SUM(K27+J29)</f>
        <v>-75182.92199999996</v>
      </c>
      <c r="L29" s="81">
        <f aca="true" t="shared" si="9" ref="L29:T29">SUM(L27+K29)</f>
        <v>-74973.94199999997</v>
      </c>
      <c r="M29" s="79">
        <f t="shared" si="9"/>
        <v>-78604.23199999996</v>
      </c>
      <c r="N29" s="81">
        <f t="shared" si="9"/>
        <v>-78411.72199999997</v>
      </c>
      <c r="O29" s="79">
        <f t="shared" si="9"/>
        <v>-78048.03199999996</v>
      </c>
      <c r="P29" s="81">
        <f t="shared" si="9"/>
        <v>-79790.96199999996</v>
      </c>
      <c r="Q29" s="79">
        <f t="shared" si="9"/>
        <v>-86946.52199999995</v>
      </c>
      <c r="R29" s="81">
        <f t="shared" si="9"/>
        <v>-86015.21199999996</v>
      </c>
      <c r="S29" s="79">
        <f t="shared" si="9"/>
        <v>-85541.46199999996</v>
      </c>
      <c r="T29" s="81">
        <f t="shared" si="9"/>
        <v>-85194.00199999995</v>
      </c>
      <c r="U29" s="79">
        <f>SUM(U27+T29)-0.01</f>
        <v>-84817.76199999994</v>
      </c>
      <c r="V29" s="63"/>
      <c r="W29" s="34"/>
    </row>
    <row r="30" spans="1:23" ht="10.5" customHeight="1" hidden="1" thickBot="1">
      <c r="A30" s="48" t="s">
        <v>45</v>
      </c>
      <c r="B30" s="51" t="s">
        <v>8</v>
      </c>
      <c r="C30" s="51"/>
      <c r="D30" s="51"/>
      <c r="E30" s="69"/>
      <c r="F30" s="69"/>
      <c r="G30" s="69"/>
      <c r="H30" s="69"/>
      <c r="I30" s="69"/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2"/>
      <c r="V30" s="63"/>
      <c r="W30" s="25"/>
    </row>
    <row r="31" spans="1:23" ht="15" customHeight="1" hidden="1" thickBot="1">
      <c r="A31" s="48" t="s">
        <v>46</v>
      </c>
      <c r="B31" s="45" t="s">
        <v>26</v>
      </c>
      <c r="C31" s="52"/>
      <c r="D31" s="52"/>
      <c r="E31" s="70"/>
      <c r="F31" s="70"/>
      <c r="G31" s="70"/>
      <c r="H31" s="70"/>
      <c r="I31" s="70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23"/>
      <c r="V31" s="64"/>
      <c r="W31" s="25"/>
    </row>
    <row r="32" spans="1:23" ht="24" customHeight="1" hidden="1" thickBot="1">
      <c r="A32" s="49" t="s">
        <v>47</v>
      </c>
      <c r="B32" s="46" t="s">
        <v>51</v>
      </c>
      <c r="C32" s="53"/>
      <c r="D32" s="53"/>
      <c r="E32" s="71"/>
      <c r="F32" s="71"/>
      <c r="G32" s="71"/>
      <c r="H32" s="71"/>
      <c r="I32" s="71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1">
        <f>SUM(U28-U30)</f>
        <v>-9670.080000000005</v>
      </c>
      <c r="V32" s="65"/>
      <c r="W32" s="32"/>
    </row>
    <row r="33" spans="1:23" ht="24" customHeight="1" hidden="1" thickBot="1">
      <c r="A33" s="49" t="s">
        <v>50</v>
      </c>
      <c r="B33" s="46" t="s">
        <v>27</v>
      </c>
      <c r="C33" s="53"/>
      <c r="D33" s="53"/>
      <c r="E33" s="71"/>
      <c r="F33" s="71"/>
      <c r="G33" s="71"/>
      <c r="H33" s="71"/>
      <c r="I33" s="7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1">
        <f>SUM(U29-U30)</f>
        <v>-84817.76199999994</v>
      </c>
      <c r="V33" s="65"/>
      <c r="W33" s="32"/>
    </row>
    <row r="34" spans="2:23" ht="1.5" customHeight="1" hidden="1">
      <c r="B34" s="27"/>
      <c r="C34" s="27"/>
      <c r="D34" s="27"/>
      <c r="E34" s="27"/>
      <c r="F34" s="27"/>
      <c r="G34" s="27"/>
      <c r="H34" s="27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/>
    </row>
    <row r="35" ht="0.75" customHeight="1" hidden="1"/>
    <row r="36" ht="12.75" hidden="1"/>
    <row r="37" ht="12.75" hidden="1"/>
    <row r="38" ht="12.75">
      <c r="B38" t="s">
        <v>70</v>
      </c>
    </row>
    <row r="42" ht="12.75" customHeight="1"/>
    <row r="43" ht="12.75" customHeight="1"/>
  </sheetData>
  <sheetProtection/>
  <mergeCells count="5">
    <mergeCell ref="B4:W4"/>
    <mergeCell ref="B5:W5"/>
    <mergeCell ref="B3:W3"/>
    <mergeCell ref="B1:L1"/>
    <mergeCell ref="B2:R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2018-02-07T05:48:11Z</cp:lastPrinted>
  <dcterms:created xsi:type="dcterms:W3CDTF">2011-06-16T11:06:26Z</dcterms:created>
  <dcterms:modified xsi:type="dcterms:W3CDTF">2018-02-12T07:25:38Z</dcterms:modified>
  <cp:category/>
  <cp:version/>
  <cp:contentType/>
  <cp:contentStatus/>
</cp:coreProperties>
</file>