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<sst xmlns="http://schemas.openxmlformats.org/spreadsheetml/2006/main" count="80" uniqueCount="79">
  <si>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</si>
  <si>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</si>
  <si>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</si>
  <si>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</si>
  <si>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</si>
  <si>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</si>
  <si>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</si>
  <si>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</si>
  <si>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</si>
  <si>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</si>
  <si>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</si>
  <si>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</si>
  <si>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</si>
  <si>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</si>
  <si>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</si>
  <si>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</si>
  <si>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</si>
  <si>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</si>
  <si>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</si>
  <si>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</si>
  <si>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</si>
  <si>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</si>
  <si>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</si>
  <si>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</si>
  <si>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</si>
  <si>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</si>
  <si>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</si>
  <si>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</si>
  <si>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</si>
  <si>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</si>
  <si>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</si>
  <si>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</si>
  <si>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</si>
  <si>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</si>
  <si>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</si>
  <si>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</si>
  <si>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</si>
  <si>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</si>
  <si>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</si>
  <si>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</si>
  <si>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</si>
  <si>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</si>
  <si>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</si>
  <si>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</si>
  <si>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</si>
  <si>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6</t>
  </si>
  <si>
    <t>7</t>
  </si>
  <si>
    <t>8</t>
  </si>
  <si>
    <t>9</t>
  </si>
  <si>
    <t>по жилому дому г. Унеча ул. Комсомольская д.10 А</t>
  </si>
  <si>
    <t>за 2009 г</t>
  </si>
  <si>
    <t>за 2010 г</t>
  </si>
  <si>
    <t>10</t>
  </si>
  <si>
    <t>Финансовый результат по дому с начала года</t>
  </si>
  <si>
    <t>Итого за 2011 г</t>
  </si>
  <si>
    <t>Результат за месяц</t>
  </si>
  <si>
    <t>Итого за 2012 г</t>
  </si>
  <si>
    <t>Благоустройство территории</t>
  </si>
  <si>
    <t>Дом по ул.Комсомольская д.10 А вступил в ООО "Наш дом" с ноября 2009 года                        тариф 10,35 р.</t>
  </si>
  <si>
    <t>4.12</t>
  </si>
  <si>
    <t>4.13</t>
  </si>
  <si>
    <t xml:space="preserve">%  оплаты </t>
  </si>
  <si>
    <t>Итого за 2013г</t>
  </si>
  <si>
    <t>Итого за 2014г</t>
  </si>
  <si>
    <t>рентабельность 5%</t>
  </si>
  <si>
    <t>Итого за 2015г</t>
  </si>
  <si>
    <t xml:space="preserve">Материалы </t>
  </si>
  <si>
    <t>Проверка вент.каналов</t>
  </si>
  <si>
    <t>4.11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</si>
  <si>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</si>
  <si>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</si>
  <si>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</si>
  <si>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>Исполнитель вед. экономист  /Викторова Л.С./</t>
  </si>
  <si>
    <t xml:space="preserve">Услуги агентские,охрана труда,отопление, хол.вода, эл.энегрия   </t>
  </si>
  <si>
    <t>Итого за 2016г</t>
  </si>
  <si>
    <t>Итого за 2017г</t>
  </si>
  <si>
    <t>Всего за 2009-2017</t>
  </si>
  <si>
    <t>Электроэнергия  СОИД</t>
  </si>
  <si>
    <t>Начислено СОИД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</si>
</sst>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9" xfId="0" applyFont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4" fillId="0" borderId="31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1" fillId="0" borderId="32" xfId="0" applyFont="1" applyBorder="1" applyAlignment="1">
      <alignment horizontal="left" wrapText="1"/>
    </xf>
    <xf numFmtId="0" fontId="24" fillId="0" borderId="30" xfId="0" applyFont="1" applyBorder="1" applyAlignment="1">
      <alignment wrapText="1"/>
    </xf>
    <xf numFmtId="49" fontId="21" fillId="0" borderId="31" xfId="0" applyNumberFormat="1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2" borderId="34" xfId="0" applyFont="1" applyFill="1" applyBorder="1" applyAlignment="1">
      <alignment wrapText="1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2" borderId="38" xfId="0" applyFont="1" applyFill="1" applyBorder="1" applyAlignment="1">
      <alignment wrapText="1"/>
    </xf>
    <xf numFmtId="0" fontId="21" fillId="0" borderId="39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29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right" wrapText="1"/>
    </xf>
    <xf numFmtId="1" fontId="21" fillId="0" borderId="41" xfId="0" applyNumberFormat="1" applyFont="1" applyBorder="1" applyAlignment="1">
      <alignment horizontal="center"/>
    </xf>
    <xf numFmtId="1" fontId="20" fillId="0" borderId="36" xfId="0" applyNumberFormat="1" applyFont="1" applyBorder="1" applyAlignment="1">
      <alignment horizontal="center"/>
    </xf>
    <xf numFmtId="1" fontId="21" fillId="0" borderId="36" xfId="0" applyNumberFormat="1" applyFont="1" applyBorder="1" applyAlignment="1">
      <alignment horizontal="center"/>
    </xf>
    <xf numFmtId="0" fontId="21" fillId="0" borderId="26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29" xfId="0" applyFont="1" applyBorder="1" applyAlignment="1">
      <alignment/>
    </xf>
    <xf numFmtId="0" fontId="21" fillId="0" borderId="38" xfId="0" applyFont="1" applyBorder="1" applyAlignment="1">
      <alignment/>
    </xf>
    <xf numFmtId="0" fontId="20" fillId="2" borderId="38" xfId="0" applyFont="1" applyFill="1" applyBorder="1" applyAlignment="1">
      <alignment/>
    </xf>
    <xf numFmtId="2" fontId="25" fillId="0" borderId="26" xfId="0" applyNumberFormat="1" applyFont="1" applyBorder="1" applyAlignment="1">
      <alignment/>
    </xf>
    <xf numFmtId="0" fontId="21" fillId="0" borderId="43" xfId="0" applyFont="1" applyBorder="1" applyAlignment="1">
      <alignment wrapText="1"/>
    </xf>
    <xf numFmtId="2" fontId="21" fillId="0" borderId="28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0" fontId="20" fillId="2" borderId="26" xfId="0" applyFont="1" applyFill="1" applyBorder="1" applyAlignment="1">
      <alignment/>
    </xf>
    <xf numFmtId="0" fontId="26" fillId="0" borderId="40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19" fillId="0" borderId="39" xfId="0" applyFont="1" applyBorder="1" applyAlignment="1">
      <alignment horizontal="center" vertical="center" wrapText="1"/>
    </xf>
    <xf numFmtId="0" fontId="26" fillId="0" borderId="44" xfId="0" applyFont="1" applyBorder="1" applyAlignment="1">
      <alignment wrapText="1"/>
    </xf>
    <xf numFmtId="0" fontId="26" fillId="0" borderId="45" xfId="0" applyFont="1" applyBorder="1" applyAlignment="1">
      <alignment wrapText="1"/>
    </xf>
    <xf numFmtId="1" fontId="21" fillId="0" borderId="45" xfId="0" applyNumberFormat="1" applyFont="1" applyBorder="1" applyAlignment="1">
      <alignment horizontal="center"/>
    </xf>
    <xf numFmtId="0" fontId="21" fillId="0" borderId="39" xfId="0" applyFont="1" applyBorder="1" applyAlignment="1">
      <alignment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18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8" xfId="0" applyNumberFormat="1" applyBorder="1" applyAlignment="1">
      <alignment horizontal="center"/>
    </xf>
    <xf numFmtId="2" fontId="21" fillId="0" borderId="0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49" xfId="0" applyNumberFormat="1" applyFont="1" applyBorder="1" applyAlignment="1">
      <alignment horizontal="right" wrapText="1"/>
    </xf>
    <xf numFmtId="2" fontId="21" fillId="0" borderId="50" xfId="0" applyNumberFormat="1" applyFont="1" applyBorder="1" applyAlignment="1">
      <alignment/>
    </xf>
    <xf numFmtId="49" fontId="0" fillId="0" borderId="29" xfId="0" applyNumberFormat="1" applyBorder="1" applyAlignment="1">
      <alignment horizontal="center"/>
    </xf>
    <xf numFmtId="0" fontId="21" fillId="0" borderId="47" xfId="0" applyFont="1" applyBorder="1" applyAlignment="1">
      <alignment wrapText="1"/>
    </xf>
    <xf numFmtId="0" fontId="21" fillId="0" borderId="28" xfId="0" applyFont="1" applyBorder="1" applyAlignment="1">
      <alignment/>
    </xf>
    <xf numFmtId="2" fontId="21" fillId="0" borderId="34" xfId="0" applyNumberFormat="1" applyFont="1" applyBorder="1" applyAlignment="1">
      <alignment/>
    </xf>
    <xf numFmtId="49" fontId="0" fillId="0" borderId="26" xfId="0" applyNumberFormat="1" applyBorder="1" applyAlignment="1">
      <alignment horizontal="center"/>
    </xf>
    <xf numFmtId="2" fontId="21" fillId="0" borderId="5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3">
      <selection activeCell="N22" sqref="N22"/>
    </sheetView>
  </sheetViews>
  <sheetFormatPr defaultColWidth="9.00390625" defaultRowHeight="12.75"/>
  <cols>
    <col min="1" max="1" width="4.375" style="36" customWidth="1"/>
    <col min="2" max="2" width="19.875" style="0" customWidth="1"/>
    <col min="3" max="3" width="6.125" style="0" hidden="1" customWidth="1"/>
    <col min="4" max="5" width="7.875" style="0" hidden="1" customWidth="1"/>
    <col min="6" max="8" width="9.00390625" style="0" hidden="1" customWidth="1"/>
    <col min="9" max="9" width="0.12890625" style="0" hidden="1" customWidth="1"/>
    <col min="10" max="10" width="9.00390625" style="0" hidden="1" customWidth="1"/>
    <col min="11" max="11" width="8.00390625" style="0" customWidth="1"/>
    <col min="12" max="12" width="9.375" style="0" customWidth="1"/>
    <col min="13" max="13" width="8.625" style="0" customWidth="1"/>
    <col min="14" max="14" width="8.00390625" style="0" customWidth="1"/>
    <col min="15" max="15" width="9.125" style="0" customWidth="1"/>
    <col min="16" max="16" width="8.125" style="0" customWidth="1"/>
    <col min="17" max="17" width="9.25390625" style="0" customWidth="1"/>
    <col min="18" max="19" width="8.375" style="0" customWidth="1"/>
    <col min="20" max="20" width="9.00390625" style="0" customWidth="1"/>
    <col min="21" max="22" width="8.625" style="0" customWidth="1"/>
    <col min="23" max="23" width="9.375" style="0" customWidth="1"/>
    <col min="24" max="24" width="9.75390625" style="0" hidden="1" customWidth="1"/>
  </cols>
  <sheetData>
    <row r="1" spans="2:29" ht="12.75" customHeight="1">
      <c r="B1" s="100" t="s">
        <v>10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00" t="s">
        <v>58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3"/>
      <c r="Z3" s="3"/>
      <c r="AA3" s="3"/>
      <c r="AB3" s="3"/>
      <c r="AC3" s="3"/>
    </row>
    <row r="4" spans="2:29" ht="11.25" customHeight="1">
      <c r="B4" s="98" t="s">
        <v>12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2"/>
      <c r="Z4" s="2"/>
      <c r="AA4" s="2"/>
      <c r="AB4" s="2"/>
      <c r="AC4" s="2"/>
    </row>
    <row r="5" spans="2:29" ht="15.75" customHeight="1" thickBot="1">
      <c r="B5" s="98" t="s">
        <v>49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2"/>
      <c r="Z5" s="2"/>
      <c r="AA5" s="2"/>
      <c r="AB5" s="2"/>
      <c r="AC5" s="2"/>
    </row>
    <row r="6" spans="2:29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34.5" customHeight="1" thickBot="1">
      <c r="A7" s="48" t="s">
        <v>29</v>
      </c>
      <c r="B7" s="37" t="s">
        <v>8</v>
      </c>
      <c r="C7" s="51" t="s">
        <v>50</v>
      </c>
      <c r="D7" s="55" t="s">
        <v>51</v>
      </c>
      <c r="E7" s="84" t="s">
        <v>54</v>
      </c>
      <c r="F7" s="70" t="s">
        <v>56</v>
      </c>
      <c r="G7" s="70" t="s">
        <v>62</v>
      </c>
      <c r="H7" s="70" t="s">
        <v>63</v>
      </c>
      <c r="I7" s="70" t="s">
        <v>65</v>
      </c>
      <c r="J7" s="70" t="s">
        <v>74</v>
      </c>
      <c r="K7" s="6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  <c r="R7" s="5" t="s">
        <v>20</v>
      </c>
      <c r="S7" s="5" t="s">
        <v>21</v>
      </c>
      <c r="T7" s="5" t="s">
        <v>22</v>
      </c>
      <c r="U7" s="5" t="s">
        <v>24</v>
      </c>
      <c r="V7" s="17" t="s">
        <v>23</v>
      </c>
      <c r="W7" s="70" t="s">
        <v>75</v>
      </c>
      <c r="X7" s="24" t="s">
        <v>76</v>
      </c>
      <c r="Y7" s="1"/>
      <c r="Z7" s="1"/>
      <c r="AA7" s="1"/>
      <c r="AB7" s="1"/>
      <c r="AC7" s="1"/>
    </row>
    <row r="8" spans="1:24" ht="12.75">
      <c r="A8" s="49" t="s">
        <v>30</v>
      </c>
      <c r="B8" s="38" t="s">
        <v>1</v>
      </c>
      <c r="C8" s="79">
        <v>13257.2</v>
      </c>
      <c r="D8" s="80">
        <v>79678.44</v>
      </c>
      <c r="E8" s="85">
        <v>86666.2</v>
      </c>
      <c r="F8" s="81">
        <v>90588.97</v>
      </c>
      <c r="G8" s="80">
        <v>90641.76</v>
      </c>
      <c r="H8" s="81">
        <v>90325.05</v>
      </c>
      <c r="I8" s="80">
        <v>90219.48</v>
      </c>
      <c r="J8" s="80">
        <v>90219.48</v>
      </c>
      <c r="K8" s="7">
        <v>7518.29</v>
      </c>
      <c r="L8" s="8">
        <v>7518.29</v>
      </c>
      <c r="M8" s="8">
        <v>7518.29</v>
      </c>
      <c r="N8" s="8">
        <v>7518.29</v>
      </c>
      <c r="O8" s="8">
        <v>7518.29</v>
      </c>
      <c r="P8" s="8">
        <v>7518.29</v>
      </c>
      <c r="Q8" s="8">
        <v>7518.29</v>
      </c>
      <c r="R8" s="8">
        <v>7518.29</v>
      </c>
      <c r="S8" s="8">
        <v>7518.29</v>
      </c>
      <c r="T8" s="8">
        <v>7518.29</v>
      </c>
      <c r="U8" s="8">
        <v>7518.29</v>
      </c>
      <c r="V8" s="18">
        <v>7518.29</v>
      </c>
      <c r="W8" s="71">
        <f>SUM(K8:V8)</f>
        <v>90219.47999999998</v>
      </c>
      <c r="X8" s="34">
        <f>SUM(C8:V8)</f>
        <v>721816.0600000004</v>
      </c>
    </row>
    <row r="9" spans="1:24" ht="12.75">
      <c r="A9" s="49"/>
      <c r="B9" s="38" t="s">
        <v>78</v>
      </c>
      <c r="C9" s="79"/>
      <c r="D9" s="81"/>
      <c r="E9" s="85"/>
      <c r="F9" s="81"/>
      <c r="G9" s="81"/>
      <c r="H9" s="81"/>
      <c r="I9" s="81"/>
      <c r="J9" s="81">
        <v>0</v>
      </c>
      <c r="K9" s="7">
        <f>409.41+23.47</f>
        <v>432.88</v>
      </c>
      <c r="L9" s="8">
        <f>409.41+23.47</f>
        <v>432.88</v>
      </c>
      <c r="M9" s="8">
        <f>409.41+23.47</f>
        <v>432.88</v>
      </c>
      <c r="N9" s="8">
        <f>409.41+23.47</f>
        <v>432.88</v>
      </c>
      <c r="O9" s="8">
        <f>409.41+23.47</f>
        <v>432.88</v>
      </c>
      <c r="P9" s="8">
        <f>882.82+45.48</f>
        <v>928.3000000000001</v>
      </c>
      <c r="Q9" s="8">
        <f aca="true" t="shared" si="0" ref="Q9:V9">926.07+46.49</f>
        <v>972.5600000000001</v>
      </c>
      <c r="R9" s="8">
        <f t="shared" si="0"/>
        <v>972.5600000000001</v>
      </c>
      <c r="S9" s="8">
        <f t="shared" si="0"/>
        <v>972.5600000000001</v>
      </c>
      <c r="T9" s="8">
        <f t="shared" si="0"/>
        <v>972.5600000000001</v>
      </c>
      <c r="U9" s="8">
        <f t="shared" si="0"/>
        <v>972.5600000000001</v>
      </c>
      <c r="V9" s="18">
        <f t="shared" si="0"/>
        <v>972.5600000000001</v>
      </c>
      <c r="W9" s="71">
        <f>SUM(K9:V9)</f>
        <v>8928.060000000001</v>
      </c>
      <c r="X9" s="34">
        <f>SUM(C9:V9)</f>
        <v>8928.060000000001</v>
      </c>
    </row>
    <row r="10" spans="1:24" ht="12.75">
      <c r="A10" s="49" t="s">
        <v>31</v>
      </c>
      <c r="B10" s="39" t="s">
        <v>2</v>
      </c>
      <c r="C10" s="82">
        <v>5043.44</v>
      </c>
      <c r="D10" s="83">
        <v>71726.14</v>
      </c>
      <c r="E10" s="86">
        <v>84763.14</v>
      </c>
      <c r="F10" s="83">
        <v>91593.65</v>
      </c>
      <c r="G10" s="83">
        <v>90641.76</v>
      </c>
      <c r="H10" s="83">
        <v>90360.24</v>
      </c>
      <c r="I10" s="83">
        <v>90219.48</v>
      </c>
      <c r="J10" s="83">
        <v>90219.48</v>
      </c>
      <c r="K10" s="9">
        <v>7518.29</v>
      </c>
      <c r="L10" s="10">
        <v>7951.17</v>
      </c>
      <c r="M10" s="10">
        <v>7951.17</v>
      </c>
      <c r="N10" s="10">
        <v>7951.17</v>
      </c>
      <c r="O10" s="10">
        <v>7951.17</v>
      </c>
      <c r="P10" s="10">
        <v>6949.61</v>
      </c>
      <c r="Q10" s="10">
        <v>9448.15</v>
      </c>
      <c r="R10" s="10">
        <v>8490.85</v>
      </c>
      <c r="S10" s="10">
        <v>8490.85</v>
      </c>
      <c r="T10" s="10">
        <v>8490.85</v>
      </c>
      <c r="U10" s="10">
        <v>8490.85</v>
      </c>
      <c r="V10" s="19">
        <v>8490.85</v>
      </c>
      <c r="W10" s="71">
        <f>SUM(K10:V10)</f>
        <v>98174.98000000001</v>
      </c>
      <c r="X10" s="34">
        <f>SUM(C10:V10)</f>
        <v>712742.31</v>
      </c>
    </row>
    <row r="11" spans="1:24" ht="15" customHeight="1" thickBot="1">
      <c r="A11" s="49" t="s">
        <v>32</v>
      </c>
      <c r="B11" s="40" t="s">
        <v>61</v>
      </c>
      <c r="C11" s="66">
        <f aca="true" t="shared" si="1" ref="C11:K11">SUM(C10/C8*100)</f>
        <v>38.04302567661345</v>
      </c>
      <c r="D11" s="68">
        <f t="shared" si="1"/>
        <v>90.01950841407034</v>
      </c>
      <c r="E11" s="87">
        <f t="shared" si="1"/>
        <v>97.80414971465231</v>
      </c>
      <c r="F11" s="68">
        <f t="shared" si="1"/>
        <v>101.10905334280761</v>
      </c>
      <c r="G11" s="68">
        <f t="shared" si="1"/>
        <v>100</v>
      </c>
      <c r="H11" s="68">
        <f t="shared" si="1"/>
        <v>100.03895929202365</v>
      </c>
      <c r="I11" s="68">
        <f>SUM(I10/I8*100)</f>
        <v>100</v>
      </c>
      <c r="J11" s="68">
        <f>SUM(J10/J8*100)</f>
        <v>100</v>
      </c>
      <c r="K11" s="27">
        <f t="shared" si="1"/>
        <v>100</v>
      </c>
      <c r="L11" s="27">
        <f aca="true" t="shared" si="2" ref="L11:V11">SUM(L10/L8*100)</f>
        <v>105.75769224118783</v>
      </c>
      <c r="M11" s="27">
        <f t="shared" si="2"/>
        <v>105.75769224118783</v>
      </c>
      <c r="N11" s="27">
        <f t="shared" si="2"/>
        <v>105.75769224118783</v>
      </c>
      <c r="O11" s="27">
        <f t="shared" si="2"/>
        <v>105.75769224118783</v>
      </c>
      <c r="P11" s="27">
        <f t="shared" si="2"/>
        <v>92.43604596257924</v>
      </c>
      <c r="Q11" s="27">
        <f t="shared" si="2"/>
        <v>125.66886885182666</v>
      </c>
      <c r="R11" s="27">
        <f t="shared" si="2"/>
        <v>112.93592026910375</v>
      </c>
      <c r="S11" s="27">
        <f t="shared" si="2"/>
        <v>112.93592026910375</v>
      </c>
      <c r="T11" s="27">
        <f t="shared" si="2"/>
        <v>112.93592026910375</v>
      </c>
      <c r="U11" s="27">
        <f t="shared" si="2"/>
        <v>112.93592026910375</v>
      </c>
      <c r="V11" s="66">
        <f t="shared" si="2"/>
        <v>112.93592026910375</v>
      </c>
      <c r="W11" s="67">
        <f>SUM(W10/W8*100)</f>
        <v>108.81794042705637</v>
      </c>
      <c r="X11" s="67">
        <f>SUM(X10/X8*100)</f>
        <v>98.74292766497875</v>
      </c>
    </row>
    <row r="12" spans="1:24" ht="13.5" thickBot="1">
      <c r="A12" s="49" t="s">
        <v>33</v>
      </c>
      <c r="B12" s="41" t="s">
        <v>3</v>
      </c>
      <c r="C12" s="20">
        <v>8063.57</v>
      </c>
      <c r="D12" s="69">
        <f aca="true" t="shared" si="3" ref="D12:K12">SUM(D13:D25)</f>
        <v>73899.58</v>
      </c>
      <c r="E12" s="88">
        <f t="shared" si="3"/>
        <v>76179.17</v>
      </c>
      <c r="F12" s="69">
        <f t="shared" si="3"/>
        <v>71840.71</v>
      </c>
      <c r="G12" s="69">
        <f t="shared" si="3"/>
        <v>110853.25000000001</v>
      </c>
      <c r="H12" s="69">
        <f t="shared" si="3"/>
        <v>80685.6</v>
      </c>
      <c r="I12" s="69">
        <f>SUM(I13:I25)</f>
        <v>80744.79999999999</v>
      </c>
      <c r="J12" s="69">
        <f>SUM(J13:J25)</f>
        <v>84875.79</v>
      </c>
      <c r="K12" s="13">
        <f t="shared" si="3"/>
        <v>6453.500000000001</v>
      </c>
      <c r="L12" s="13">
        <f aca="true" t="shared" si="4" ref="L12:V12">SUM(L13:L25)</f>
        <v>6152.379999999999</v>
      </c>
      <c r="M12" s="13">
        <f t="shared" si="4"/>
        <v>6389.54</v>
      </c>
      <c r="N12" s="13">
        <f t="shared" si="4"/>
        <v>6417.94</v>
      </c>
      <c r="O12" s="13">
        <f t="shared" si="4"/>
        <v>6639.13</v>
      </c>
      <c r="P12" s="13">
        <f t="shared" si="4"/>
        <v>6883.94</v>
      </c>
      <c r="Q12" s="13">
        <f t="shared" si="4"/>
        <v>7365.41</v>
      </c>
      <c r="R12" s="13">
        <f t="shared" si="4"/>
        <v>7224.95</v>
      </c>
      <c r="S12" s="13">
        <f t="shared" si="4"/>
        <v>7005.42</v>
      </c>
      <c r="T12" s="13">
        <f t="shared" si="4"/>
        <v>7059.52</v>
      </c>
      <c r="U12" s="13">
        <f t="shared" si="4"/>
        <v>9584.73</v>
      </c>
      <c r="V12" s="20">
        <f t="shared" si="4"/>
        <v>7086.13</v>
      </c>
      <c r="W12" s="69">
        <f>SUM(K12:V12)</f>
        <v>84262.59</v>
      </c>
      <c r="X12" s="35">
        <f>SUM(C12:V12)</f>
        <v>671405.0599999999</v>
      </c>
    </row>
    <row r="13" spans="1:24" ht="13.5" thickBot="1">
      <c r="A13" s="49" t="s">
        <v>34</v>
      </c>
      <c r="B13" s="42" t="s">
        <v>5</v>
      </c>
      <c r="C13" s="60"/>
      <c r="D13" s="61">
        <v>16394.18</v>
      </c>
      <c r="E13" s="89">
        <v>18360.52</v>
      </c>
      <c r="F13" s="61">
        <v>16469.68</v>
      </c>
      <c r="G13" s="61">
        <v>18784.75</v>
      </c>
      <c r="H13" s="61">
        <v>20612.51</v>
      </c>
      <c r="I13" s="61">
        <v>19287.86</v>
      </c>
      <c r="J13" s="61">
        <v>18374.59</v>
      </c>
      <c r="K13" s="7">
        <f>1431+17.49</f>
        <v>1448.49</v>
      </c>
      <c r="L13" s="8">
        <f>1431+82.19</f>
        <v>1513.19</v>
      </c>
      <c r="M13" s="8">
        <f>1431+48.27</f>
        <v>1479.27</v>
      </c>
      <c r="N13" s="8">
        <f>1431+152.96</f>
        <v>1583.96</v>
      </c>
      <c r="O13" s="8">
        <f>1431+76.35</f>
        <v>1507.35</v>
      </c>
      <c r="P13" s="8">
        <f>1431+46.67</f>
        <v>1477.67</v>
      </c>
      <c r="Q13" s="8">
        <f>1431+73.52</f>
        <v>1504.52</v>
      </c>
      <c r="R13" s="8">
        <f>1431+85.49</f>
        <v>1516.49</v>
      </c>
      <c r="S13" s="8">
        <f>1431+88.42</f>
        <v>1519.42</v>
      </c>
      <c r="T13" s="8">
        <f>1431+91.92</f>
        <v>1522.92</v>
      </c>
      <c r="U13" s="8">
        <f>1431+80.33</f>
        <v>1511.33</v>
      </c>
      <c r="V13" s="18">
        <f>1431+80.48</f>
        <v>1511.48</v>
      </c>
      <c r="W13" s="69">
        <f aca="true" t="shared" si="5" ref="W13:W27">SUM(K13:V13)</f>
        <v>18096.09</v>
      </c>
      <c r="X13" s="35">
        <f aca="true" t="shared" si="6" ref="X13:X25">SUM(C13:V13)</f>
        <v>146380.18</v>
      </c>
    </row>
    <row r="14" spans="1:24" ht="14.25" customHeight="1" thickBot="1">
      <c r="A14" s="49" t="s">
        <v>35</v>
      </c>
      <c r="B14" s="43" t="s">
        <v>69</v>
      </c>
      <c r="C14" s="62"/>
      <c r="D14" s="63">
        <v>20245.2</v>
      </c>
      <c r="E14" s="90">
        <v>7293.99</v>
      </c>
      <c r="F14" s="63">
        <v>723.82</v>
      </c>
      <c r="G14" s="63">
        <v>5152.28</v>
      </c>
      <c r="H14" s="63">
        <v>8282.44</v>
      </c>
      <c r="I14" s="63">
        <v>3228</v>
      </c>
      <c r="J14" s="63">
        <v>5183.67</v>
      </c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>
        <v>2400</v>
      </c>
      <c r="V14" s="19"/>
      <c r="W14" s="69">
        <f t="shared" si="5"/>
        <v>2400</v>
      </c>
      <c r="X14" s="74">
        <f>SUM(C14:V14)</f>
        <v>52509.4</v>
      </c>
    </row>
    <row r="15" spans="1:24" ht="21.75" customHeight="1" thickBot="1">
      <c r="A15" s="49" t="s">
        <v>36</v>
      </c>
      <c r="B15" s="40" t="s">
        <v>6</v>
      </c>
      <c r="C15" s="62"/>
      <c r="D15" s="63">
        <v>4339.78</v>
      </c>
      <c r="E15" s="90">
        <v>0</v>
      </c>
      <c r="F15" s="63">
        <v>0</v>
      </c>
      <c r="G15" s="63">
        <v>5247.46</v>
      </c>
      <c r="H15" s="63"/>
      <c r="I15" s="63">
        <v>0</v>
      </c>
      <c r="J15" s="63">
        <v>5813.1</v>
      </c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9"/>
      <c r="W15" s="69">
        <f t="shared" si="5"/>
        <v>0</v>
      </c>
      <c r="X15" s="35">
        <f t="shared" si="6"/>
        <v>15400.34</v>
      </c>
    </row>
    <row r="16" spans="1:24" ht="12" customHeight="1" thickBot="1">
      <c r="A16" s="49" t="s">
        <v>37</v>
      </c>
      <c r="B16" s="40" t="s">
        <v>67</v>
      </c>
      <c r="C16" s="62"/>
      <c r="D16" s="63"/>
      <c r="E16" s="90"/>
      <c r="F16" s="63"/>
      <c r="G16" s="63"/>
      <c r="H16" s="63"/>
      <c r="I16" s="63">
        <v>1200</v>
      </c>
      <c r="J16" s="63">
        <v>0</v>
      </c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9"/>
      <c r="W16" s="69">
        <f>SUM(K16:V16)</f>
        <v>0</v>
      </c>
      <c r="X16" s="35">
        <f>SUM(C16:V16)</f>
        <v>1200</v>
      </c>
    </row>
    <row r="17" spans="1:24" ht="15" customHeight="1" thickBot="1">
      <c r="A17" s="49" t="s">
        <v>38</v>
      </c>
      <c r="B17" s="43" t="s">
        <v>66</v>
      </c>
      <c r="C17" s="62"/>
      <c r="D17" s="63">
        <v>5540.22</v>
      </c>
      <c r="E17" s="90">
        <v>2259.67</v>
      </c>
      <c r="F17" s="63">
        <v>1826.61</v>
      </c>
      <c r="G17" s="63">
        <v>28582.59</v>
      </c>
      <c r="H17" s="63">
        <v>342.45</v>
      </c>
      <c r="I17" s="63">
        <v>654.39</v>
      </c>
      <c r="J17" s="63">
        <v>900.26</v>
      </c>
      <c r="K17" s="9"/>
      <c r="L17" s="10"/>
      <c r="M17" s="10"/>
      <c r="N17" s="10"/>
      <c r="O17" s="10"/>
      <c r="P17" s="10"/>
      <c r="Q17" s="10"/>
      <c r="R17" s="10">
        <v>95</v>
      </c>
      <c r="S17" s="10"/>
      <c r="T17" s="10"/>
      <c r="U17" s="10"/>
      <c r="V17" s="19">
        <v>230.1</v>
      </c>
      <c r="W17" s="69">
        <f t="shared" si="5"/>
        <v>325.1</v>
      </c>
      <c r="X17" s="35">
        <f t="shared" si="6"/>
        <v>40431.28999999999</v>
      </c>
    </row>
    <row r="18" spans="1:24" ht="20.25" customHeight="1" thickBot="1">
      <c r="A18" s="49" t="s">
        <v>39</v>
      </c>
      <c r="B18" s="43" t="s">
        <v>57</v>
      </c>
      <c r="C18" s="62">
        <v>0</v>
      </c>
      <c r="D18" s="63">
        <v>0</v>
      </c>
      <c r="E18" s="90">
        <v>0</v>
      </c>
      <c r="F18" s="63">
        <v>256</v>
      </c>
      <c r="G18" s="63">
        <v>0</v>
      </c>
      <c r="H18" s="63">
        <v>16.48</v>
      </c>
      <c r="I18" s="63">
        <v>0</v>
      </c>
      <c r="J18" s="63">
        <v>51</v>
      </c>
      <c r="K18" s="9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9"/>
      <c r="W18" s="69">
        <f>SUM(K18:V18)</f>
        <v>8</v>
      </c>
      <c r="X18" s="35">
        <f>SUM(C18:V18)</f>
        <v>331.48</v>
      </c>
    </row>
    <row r="19" spans="1:24" ht="15" customHeight="1" thickBot="1">
      <c r="A19" s="49" t="s">
        <v>40</v>
      </c>
      <c r="B19" s="43" t="s">
        <v>77</v>
      </c>
      <c r="C19" s="62"/>
      <c r="D19" s="63">
        <v>3996.31</v>
      </c>
      <c r="E19" s="90">
        <v>4390.4</v>
      </c>
      <c r="F19" s="63">
        <v>2486.29</v>
      </c>
      <c r="G19" s="63">
        <v>0</v>
      </c>
      <c r="H19" s="63"/>
      <c r="I19" s="63">
        <v>0</v>
      </c>
      <c r="J19" s="63">
        <v>0</v>
      </c>
      <c r="K19" s="9">
        <v>409.41</v>
      </c>
      <c r="L19" s="10">
        <v>409.41</v>
      </c>
      <c r="M19" s="10">
        <v>409.41</v>
      </c>
      <c r="N19" s="10">
        <v>409.41</v>
      </c>
      <c r="O19" s="10">
        <v>409.41</v>
      </c>
      <c r="P19" s="10">
        <v>882.82</v>
      </c>
      <c r="Q19" s="10">
        <v>926.07</v>
      </c>
      <c r="R19" s="10">
        <v>926.07</v>
      </c>
      <c r="S19" s="10">
        <v>926.07</v>
      </c>
      <c r="T19" s="10">
        <v>926.07</v>
      </c>
      <c r="U19" s="10">
        <v>926.07</v>
      </c>
      <c r="V19" s="19">
        <v>926.07</v>
      </c>
      <c r="W19" s="69">
        <f t="shared" si="5"/>
        <v>8486.289999999999</v>
      </c>
      <c r="X19" s="35">
        <f t="shared" si="6"/>
        <v>19359.289999999997</v>
      </c>
    </row>
    <row r="20" spans="1:24" ht="21" customHeight="1" thickBot="1">
      <c r="A20" s="49" t="s">
        <v>41</v>
      </c>
      <c r="B20" s="43" t="s">
        <v>7</v>
      </c>
      <c r="C20" s="62"/>
      <c r="D20" s="63">
        <v>1144.21</v>
      </c>
      <c r="E20" s="90">
        <v>482.49</v>
      </c>
      <c r="F20" s="63">
        <v>429.45</v>
      </c>
      <c r="G20" s="63">
        <v>420.73</v>
      </c>
      <c r="H20" s="63"/>
      <c r="I20" s="63">
        <v>0</v>
      </c>
      <c r="J20" s="63">
        <v>0</v>
      </c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9"/>
      <c r="W20" s="69">
        <f t="shared" si="5"/>
        <v>0</v>
      </c>
      <c r="X20" s="35">
        <f t="shared" si="6"/>
        <v>2476.88</v>
      </c>
    </row>
    <row r="21" spans="1:24" ht="33" customHeight="1" thickBot="1">
      <c r="A21" s="49" t="s">
        <v>42</v>
      </c>
      <c r="B21" s="43" t="s">
        <v>70</v>
      </c>
      <c r="C21" s="62"/>
      <c r="D21" s="63">
        <v>985.26</v>
      </c>
      <c r="E21" s="90">
        <v>3518.58</v>
      </c>
      <c r="F21" s="63">
        <v>4637.82</v>
      </c>
      <c r="G21" s="63">
        <v>4930.86</v>
      </c>
      <c r="H21" s="63">
        <v>2962.86</v>
      </c>
      <c r="I21" s="63">
        <v>3491.09</v>
      </c>
      <c r="J21" s="63">
        <v>3691.74</v>
      </c>
      <c r="K21" s="9">
        <v>312.57</v>
      </c>
      <c r="L21" s="10">
        <v>292.26</v>
      </c>
      <c r="M21" s="10">
        <v>363.32</v>
      </c>
      <c r="N21" s="10">
        <v>270.02</v>
      </c>
      <c r="O21" s="10">
        <v>287.56</v>
      </c>
      <c r="P21" s="10">
        <v>323.39</v>
      </c>
      <c r="Q21" s="10">
        <v>262.09</v>
      </c>
      <c r="R21" s="10">
        <v>303.16</v>
      </c>
      <c r="S21" s="10">
        <v>285.15</v>
      </c>
      <c r="T21" s="10">
        <v>363.81</v>
      </c>
      <c r="U21" s="10">
        <v>376.32</v>
      </c>
      <c r="V21" s="19">
        <v>310.98</v>
      </c>
      <c r="W21" s="69">
        <f t="shared" si="5"/>
        <v>3750.63</v>
      </c>
      <c r="X21" s="35">
        <f t="shared" si="6"/>
        <v>27968.84</v>
      </c>
    </row>
    <row r="22" spans="1:24" ht="33" customHeight="1" thickBot="1">
      <c r="A22" s="49" t="s">
        <v>43</v>
      </c>
      <c r="B22" s="43" t="s">
        <v>71</v>
      </c>
      <c r="C22" s="62"/>
      <c r="D22" s="63">
        <v>1713.89</v>
      </c>
      <c r="E22" s="90">
        <v>2190.31</v>
      </c>
      <c r="F22" s="63">
        <v>628.31</v>
      </c>
      <c r="G22" s="63">
        <v>411.33</v>
      </c>
      <c r="H22" s="63">
        <v>890.87</v>
      </c>
      <c r="I22" s="63">
        <v>601.66</v>
      </c>
      <c r="J22" s="63">
        <v>525.18</v>
      </c>
      <c r="K22" s="9">
        <v>68.69</v>
      </c>
      <c r="L22" s="10">
        <v>21.14</v>
      </c>
      <c r="M22" s="10">
        <v>22.69</v>
      </c>
      <c r="N22" s="10">
        <v>20.98</v>
      </c>
      <c r="O22" s="10">
        <v>20.36</v>
      </c>
      <c r="P22" s="10">
        <v>31.66</v>
      </c>
      <c r="Q22" s="10">
        <v>29.74</v>
      </c>
      <c r="R22" s="10">
        <v>91.56</v>
      </c>
      <c r="S22" s="10">
        <v>21.37</v>
      </c>
      <c r="T22" s="10">
        <v>31.6</v>
      </c>
      <c r="U22" s="10">
        <v>21.37</v>
      </c>
      <c r="V22" s="19">
        <v>29.13</v>
      </c>
      <c r="W22" s="69">
        <f t="shared" si="5"/>
        <v>410.2900000000001</v>
      </c>
      <c r="X22" s="35">
        <f t="shared" si="6"/>
        <v>7371.839999999999</v>
      </c>
    </row>
    <row r="23" spans="1:24" ht="36" customHeight="1" thickBot="1">
      <c r="A23" s="49" t="s">
        <v>68</v>
      </c>
      <c r="B23" s="43" t="s">
        <v>73</v>
      </c>
      <c r="C23" s="62"/>
      <c r="D23" s="63">
        <v>735.11</v>
      </c>
      <c r="E23" s="90">
        <v>3161.83</v>
      </c>
      <c r="F23" s="63">
        <v>3005.84</v>
      </c>
      <c r="G23" s="63">
        <v>4035.03</v>
      </c>
      <c r="H23" s="63">
        <v>3457.26</v>
      </c>
      <c r="I23" s="63">
        <v>4490.48</v>
      </c>
      <c r="J23" s="63">
        <v>3841.52</v>
      </c>
      <c r="K23" s="9">
        <f>13.78+95.86+157.08</f>
        <v>266.72</v>
      </c>
      <c r="L23" s="10">
        <f>13.72+113.7+96.32</f>
        <v>223.74</v>
      </c>
      <c r="M23" s="10">
        <f>13.51+126.38+169.17</f>
        <v>309.05999999999995</v>
      </c>
      <c r="N23" s="10">
        <f>12.75+115.84+162.83</f>
        <v>291.42</v>
      </c>
      <c r="O23" s="10">
        <f>13.1+140.47+398.34</f>
        <v>551.91</v>
      </c>
      <c r="P23" s="10">
        <f>193.54+15.37+115.03</f>
        <v>323.94</v>
      </c>
      <c r="Q23" s="10">
        <f>16.82+101.24+180.74</f>
        <v>298.8</v>
      </c>
      <c r="R23" s="10">
        <f>18.23+93.42+215.43</f>
        <v>327.08000000000004</v>
      </c>
      <c r="S23" s="10">
        <f>184.95+14.66+118.47</f>
        <v>318.08</v>
      </c>
      <c r="T23" s="10">
        <f>18.83+133.89+195.31</f>
        <v>348.03</v>
      </c>
      <c r="U23" s="10">
        <f>17.28+156.02+308.3</f>
        <v>481.6</v>
      </c>
      <c r="V23" s="19">
        <f>17.81+157.2+130.8</f>
        <v>305.81</v>
      </c>
      <c r="W23" s="69">
        <f t="shared" si="5"/>
        <v>4046.1899999999996</v>
      </c>
      <c r="X23" s="35">
        <f t="shared" si="6"/>
        <v>26773.260000000006</v>
      </c>
    </row>
    <row r="24" spans="1:24" ht="14.25" customHeight="1" thickBot="1">
      <c r="A24" s="49" t="s">
        <v>59</v>
      </c>
      <c r="B24" s="43" t="s">
        <v>11</v>
      </c>
      <c r="C24" s="62"/>
      <c r="D24" s="63">
        <v>15927.76</v>
      </c>
      <c r="E24" s="90">
        <v>29747.52</v>
      </c>
      <c r="F24" s="63">
        <v>37707.68</v>
      </c>
      <c r="G24" s="63">
        <v>39865.58</v>
      </c>
      <c r="H24" s="63">
        <v>40662.42</v>
      </c>
      <c r="I24" s="63">
        <v>44384.63</v>
      </c>
      <c r="J24" s="63">
        <v>43088.05</v>
      </c>
      <c r="K24" s="9">
        <f>6453.5-2797.77</f>
        <v>3655.73</v>
      </c>
      <c r="L24" s="10">
        <f>6152.38-2759.98</f>
        <v>3392.4</v>
      </c>
      <c r="M24" s="10">
        <f>6389.54-2883.99</f>
        <v>3505.55</v>
      </c>
      <c r="N24" s="10">
        <f>6417.94-2876.03</f>
        <v>3541.9099999999994</v>
      </c>
      <c r="O24" s="10">
        <f>6639.13-3076.83</f>
        <v>3562.3</v>
      </c>
      <c r="P24" s="10">
        <f>6883.94-3301.9</f>
        <v>3582.0399999999995</v>
      </c>
      <c r="Q24" s="10">
        <f>7365.41-3377.98</f>
        <v>3987.43</v>
      </c>
      <c r="R24" s="10">
        <f>7224.95-3579.97</f>
        <v>3644.98</v>
      </c>
      <c r="S24" s="10">
        <f>7056.59-3441.87</f>
        <v>3614.7200000000003</v>
      </c>
      <c r="T24" s="10">
        <f>7059.52-3513.04</f>
        <v>3546.4800000000005</v>
      </c>
      <c r="U24" s="10">
        <f>9584.73-6037.3</f>
        <v>3547.4299999999994</v>
      </c>
      <c r="V24" s="19">
        <f>7086.13-3634.18</f>
        <v>3451.9500000000003</v>
      </c>
      <c r="W24" s="69">
        <f t="shared" si="5"/>
        <v>43032.92</v>
      </c>
      <c r="X24" s="35">
        <f t="shared" si="6"/>
        <v>294416.5599999999</v>
      </c>
    </row>
    <row r="25" spans="1:24" ht="13.5" customHeight="1" thickBot="1">
      <c r="A25" s="49" t="s">
        <v>60</v>
      </c>
      <c r="B25" s="44" t="s">
        <v>4</v>
      </c>
      <c r="C25" s="64"/>
      <c r="D25" s="65">
        <v>2877.66</v>
      </c>
      <c r="E25" s="91">
        <v>4773.86</v>
      </c>
      <c r="F25" s="65">
        <v>3669.21</v>
      </c>
      <c r="G25" s="65">
        <v>3422.64</v>
      </c>
      <c r="H25" s="65">
        <v>3458.31</v>
      </c>
      <c r="I25" s="65">
        <v>3406.69</v>
      </c>
      <c r="J25" s="65">
        <v>3406.68</v>
      </c>
      <c r="K25" s="11">
        <v>283.89</v>
      </c>
      <c r="L25" s="12">
        <f>16.35+283.89</f>
        <v>300.24</v>
      </c>
      <c r="M25" s="12">
        <f>16.35+283.89</f>
        <v>300.24</v>
      </c>
      <c r="N25" s="12">
        <f>16.35+283.89</f>
        <v>300.24</v>
      </c>
      <c r="O25" s="12">
        <f>16.35+283.89</f>
        <v>300.24</v>
      </c>
      <c r="P25" s="12">
        <f>14.29+248.13</f>
        <v>262.42</v>
      </c>
      <c r="Q25" s="12">
        <f>37.11+319.65</f>
        <v>356.76</v>
      </c>
      <c r="R25" s="12">
        <f>36.72+283.89</f>
        <v>320.61</v>
      </c>
      <c r="S25" s="12">
        <f>36.72+283.89</f>
        <v>320.61</v>
      </c>
      <c r="T25" s="12">
        <f>36.72+283.89</f>
        <v>320.61</v>
      </c>
      <c r="U25" s="12">
        <f>36.72+283.89</f>
        <v>320.61</v>
      </c>
      <c r="V25" s="21">
        <f>36.72+283.89</f>
        <v>320.61</v>
      </c>
      <c r="W25" s="69">
        <f t="shared" si="5"/>
        <v>3707.080000000001</v>
      </c>
      <c r="X25" s="35">
        <f t="shared" si="6"/>
        <v>28722.130000000005</v>
      </c>
    </row>
    <row r="26" spans="1:24" ht="13.5" customHeight="1" thickBot="1">
      <c r="A26" s="49"/>
      <c r="B26" s="56" t="s">
        <v>64</v>
      </c>
      <c r="C26" s="76"/>
      <c r="D26" s="77"/>
      <c r="E26" s="92"/>
      <c r="F26" s="77"/>
      <c r="G26" s="77"/>
      <c r="H26" s="94">
        <f>H8*5%</f>
        <v>4516.2525000000005</v>
      </c>
      <c r="I26" s="94">
        <f>I8*5%</f>
        <v>4510.974</v>
      </c>
      <c r="J26" s="97">
        <f>J8*5%</f>
        <v>4510.974</v>
      </c>
      <c r="K26" s="93">
        <f>K8*5%</f>
        <v>375.91450000000003</v>
      </c>
      <c r="L26" s="93">
        <f aca="true" t="shared" si="7" ref="L26:V26">L8*5%</f>
        <v>375.91450000000003</v>
      </c>
      <c r="M26" s="93">
        <f t="shared" si="7"/>
        <v>375.91450000000003</v>
      </c>
      <c r="N26" s="93">
        <f t="shared" si="7"/>
        <v>375.91450000000003</v>
      </c>
      <c r="O26" s="93">
        <f t="shared" si="7"/>
        <v>375.91450000000003</v>
      </c>
      <c r="P26" s="93">
        <f t="shared" si="7"/>
        <v>375.91450000000003</v>
      </c>
      <c r="Q26" s="93">
        <f t="shared" si="7"/>
        <v>375.91450000000003</v>
      </c>
      <c r="R26" s="93">
        <f t="shared" si="7"/>
        <v>375.91450000000003</v>
      </c>
      <c r="S26" s="93">
        <f t="shared" si="7"/>
        <v>375.91450000000003</v>
      </c>
      <c r="T26" s="93">
        <f t="shared" si="7"/>
        <v>375.91450000000003</v>
      </c>
      <c r="U26" s="93">
        <f t="shared" si="7"/>
        <v>375.91450000000003</v>
      </c>
      <c r="V26" s="93">
        <f t="shared" si="7"/>
        <v>375.91450000000003</v>
      </c>
      <c r="W26" s="94">
        <f t="shared" si="5"/>
        <v>4510.973999999999</v>
      </c>
      <c r="X26" s="35"/>
    </row>
    <row r="27" spans="1:24" ht="15" customHeight="1" thickBot="1">
      <c r="A27" s="101" t="s">
        <v>44</v>
      </c>
      <c r="B27" s="75" t="s">
        <v>55</v>
      </c>
      <c r="C27" s="102"/>
      <c r="D27" s="103"/>
      <c r="E27" s="104"/>
      <c r="F27" s="103"/>
      <c r="G27" s="103"/>
      <c r="H27" s="103"/>
      <c r="I27" s="103"/>
      <c r="J27" s="103"/>
      <c r="K27" s="105">
        <f>SUM(K8+K9-K12)-K26</f>
        <v>1121.755499999999</v>
      </c>
      <c r="L27" s="105">
        <f aca="true" t="shared" si="8" ref="L27:V27">SUM(L8+L9-L12)-L26</f>
        <v>1422.8755000000008</v>
      </c>
      <c r="M27" s="105">
        <f t="shared" si="8"/>
        <v>1185.7155</v>
      </c>
      <c r="N27" s="95">
        <f t="shared" si="8"/>
        <v>1157.3155000000004</v>
      </c>
      <c r="O27" s="95">
        <f t="shared" si="8"/>
        <v>936.1254999999999</v>
      </c>
      <c r="P27" s="95">
        <f t="shared" si="8"/>
        <v>1186.7355000000005</v>
      </c>
      <c r="Q27" s="95">
        <f t="shared" si="8"/>
        <v>749.5255000000004</v>
      </c>
      <c r="R27" s="95">
        <f t="shared" si="8"/>
        <v>889.9855000000005</v>
      </c>
      <c r="S27" s="95">
        <f t="shared" si="8"/>
        <v>1109.5155000000002</v>
      </c>
      <c r="T27" s="95">
        <f t="shared" si="8"/>
        <v>1055.4154999999998</v>
      </c>
      <c r="U27" s="95">
        <f t="shared" si="8"/>
        <v>-1469.7944999999993</v>
      </c>
      <c r="V27" s="95">
        <f t="shared" si="8"/>
        <v>1028.8055000000002</v>
      </c>
      <c r="W27" s="94">
        <f t="shared" si="5"/>
        <v>10373.976</v>
      </c>
      <c r="X27" s="35"/>
    </row>
    <row r="28" spans="1:24" ht="27.75" customHeight="1" thickBot="1">
      <c r="A28" s="110" t="s">
        <v>45</v>
      </c>
      <c r="B28" s="45" t="s">
        <v>25</v>
      </c>
      <c r="C28" s="59">
        <v>5193.63</v>
      </c>
      <c r="D28" s="56">
        <v>5778.87</v>
      </c>
      <c r="E28" s="20">
        <f>SUM(E8-E12)</f>
        <v>10487.029999999999</v>
      </c>
      <c r="F28" s="69">
        <f>SUM(F8-F12)</f>
        <v>18748.259999999995</v>
      </c>
      <c r="G28" s="69">
        <f>SUM(G8-G12)</f>
        <v>-20211.49000000002</v>
      </c>
      <c r="H28" s="94">
        <f>SUM(H8-H12)-H26</f>
        <v>5123.197499999997</v>
      </c>
      <c r="I28" s="94">
        <f>SUM(I8-I12)-I26</f>
        <v>4963.706000000007</v>
      </c>
      <c r="J28" s="94">
        <f>SUM(J8-J12)-J26</f>
        <v>832.7160000000022</v>
      </c>
      <c r="K28" s="95">
        <f>SUM(K8+K9-K12)-K26</f>
        <v>1121.755499999999</v>
      </c>
      <c r="L28" s="96">
        <f>SUM(L27+K28)</f>
        <v>2544.631</v>
      </c>
      <c r="M28" s="111">
        <f aca="true" t="shared" si="9" ref="M28:V28">SUM(M27+L28)</f>
        <v>3730.3464999999997</v>
      </c>
      <c r="N28" s="95">
        <f t="shared" si="9"/>
        <v>4887.662</v>
      </c>
      <c r="O28" s="96">
        <f t="shared" si="9"/>
        <v>5823.7875</v>
      </c>
      <c r="P28" s="96">
        <f t="shared" si="9"/>
        <v>7010.523000000001</v>
      </c>
      <c r="Q28" s="96">
        <f t="shared" si="9"/>
        <v>7760.048500000002</v>
      </c>
      <c r="R28" s="96">
        <f t="shared" si="9"/>
        <v>8650.034000000001</v>
      </c>
      <c r="S28" s="96">
        <f t="shared" si="9"/>
        <v>9759.549500000001</v>
      </c>
      <c r="T28" s="96">
        <f t="shared" si="9"/>
        <v>10814.965</v>
      </c>
      <c r="U28" s="96">
        <f t="shared" si="9"/>
        <v>9345.1705</v>
      </c>
      <c r="V28" s="96">
        <f t="shared" si="9"/>
        <v>10373.976</v>
      </c>
      <c r="W28" s="69"/>
      <c r="X28" s="25"/>
    </row>
    <row r="29" spans="1:24" ht="21.75" customHeight="1" hidden="1" thickBot="1">
      <c r="A29" s="106" t="s">
        <v>46</v>
      </c>
      <c r="B29" s="46" t="s">
        <v>26</v>
      </c>
      <c r="C29" s="107">
        <v>5193.63</v>
      </c>
      <c r="D29" s="57">
        <v>10972.25</v>
      </c>
      <c r="E29" s="108">
        <f>SUM(E8-E12,D29)</f>
        <v>21459.28</v>
      </c>
      <c r="F29" s="72">
        <f>SUM(F8-F12,E29)</f>
        <v>40207.53999999999</v>
      </c>
      <c r="G29" s="72">
        <f>SUM(G8-G12,F29)</f>
        <v>19996.049999999974</v>
      </c>
      <c r="H29" s="109">
        <f>SUM(H28+G29)</f>
        <v>25119.24749999997</v>
      </c>
      <c r="I29" s="109">
        <f>SUM(I28+H29)</f>
        <v>30082.953499999974</v>
      </c>
      <c r="J29" s="97">
        <f>SUM(J28+I29)+0.04</f>
        <v>30915.709499999975</v>
      </c>
      <c r="K29" s="109">
        <f>SUM(K28+J29)</f>
        <v>32037.464999999975</v>
      </c>
      <c r="L29" s="93">
        <f>SUM(L27+K29)</f>
        <v>33460.34049999998</v>
      </c>
      <c r="M29" s="93">
        <f>SUM(M27+L29)</f>
        <v>34646.055999999975</v>
      </c>
      <c r="N29" s="95">
        <f aca="true" t="shared" si="10" ref="N29:U29">SUM(N27+M29)</f>
        <v>35803.37149999997</v>
      </c>
      <c r="O29" s="95">
        <f t="shared" si="10"/>
        <v>36739.496999999974</v>
      </c>
      <c r="P29" s="95">
        <f t="shared" si="10"/>
        <v>37926.23249999998</v>
      </c>
      <c r="Q29" s="95">
        <f t="shared" si="10"/>
        <v>38675.75799999998</v>
      </c>
      <c r="R29" s="95">
        <f t="shared" si="10"/>
        <v>39565.74349999998</v>
      </c>
      <c r="S29" s="95">
        <f>SUM(S27+R29)+0.04</f>
        <v>40675.298999999985</v>
      </c>
      <c r="T29" s="95">
        <f t="shared" si="10"/>
        <v>41730.71449999999</v>
      </c>
      <c r="U29" s="95">
        <f t="shared" si="10"/>
        <v>40260.91999999999</v>
      </c>
      <c r="V29" s="95">
        <f>SUM(V27+U29)+0.01</f>
        <v>41289.735499999995</v>
      </c>
      <c r="W29" s="69"/>
      <c r="X29" s="35"/>
    </row>
    <row r="30" spans="1:24" ht="9.75" customHeight="1" hidden="1" thickBot="1">
      <c r="A30" s="49" t="s">
        <v>46</v>
      </c>
      <c r="B30" s="56" t="s">
        <v>9</v>
      </c>
      <c r="C30" s="52"/>
      <c r="D30" s="56"/>
      <c r="E30" s="56"/>
      <c r="F30" s="52"/>
      <c r="G30" s="52"/>
      <c r="H30" s="52"/>
      <c r="I30" s="52"/>
      <c r="J30" s="52"/>
      <c r="K30" s="1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22"/>
      <c r="W30" s="69"/>
      <c r="X30" s="26"/>
    </row>
    <row r="31" spans="1:24" ht="15" customHeight="1" hidden="1" thickBot="1">
      <c r="A31" s="49" t="s">
        <v>47</v>
      </c>
      <c r="B31" s="46" t="s">
        <v>27</v>
      </c>
      <c r="C31" s="53"/>
      <c r="D31" s="57"/>
      <c r="E31" s="57"/>
      <c r="F31" s="53"/>
      <c r="G31" s="53"/>
      <c r="H31" s="53"/>
      <c r="I31" s="53"/>
      <c r="J31" s="53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3"/>
      <c r="W31" s="72"/>
      <c r="X31" s="25"/>
    </row>
    <row r="32" spans="1:24" ht="24" customHeight="1" hidden="1" thickBot="1">
      <c r="A32" s="50" t="s">
        <v>48</v>
      </c>
      <c r="B32" s="47" t="s">
        <v>53</v>
      </c>
      <c r="C32" s="54"/>
      <c r="D32" s="58"/>
      <c r="E32" s="58"/>
      <c r="F32" s="54"/>
      <c r="G32" s="54"/>
      <c r="H32" s="54"/>
      <c r="I32" s="54"/>
      <c r="J32" s="54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>
        <f>SUM(V28-V30)</f>
        <v>10373.976</v>
      </c>
      <c r="W32" s="73"/>
      <c r="X32" s="33"/>
    </row>
    <row r="33" spans="1:24" ht="24" customHeight="1" hidden="1" thickBot="1">
      <c r="A33" s="50" t="s">
        <v>52</v>
      </c>
      <c r="B33" s="47" t="s">
        <v>28</v>
      </c>
      <c r="C33" s="54"/>
      <c r="D33" s="58"/>
      <c r="E33" s="54"/>
      <c r="F33" s="54"/>
      <c r="G33" s="54"/>
      <c r="H33" s="54"/>
      <c r="I33" s="54"/>
      <c r="J33" s="54"/>
      <c r="K33" s="7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>
        <f>SUM(V29-V30)</f>
        <v>41289.735499999995</v>
      </c>
      <c r="W33" s="73"/>
      <c r="X33" s="33"/>
    </row>
    <row r="34" spans="2:24" ht="15.75" customHeight="1" hidden="1"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</row>
    <row r="35" ht="12" customHeight="1">
      <c r="B35" t="s">
        <v>72</v>
      </c>
    </row>
    <row r="36" ht="6.75" customHeight="1" hidden="1"/>
    <row r="41" ht="12.75" customHeight="1"/>
    <row r="42" ht="12.75" customHeight="1"/>
  </sheetData>
  <sheetProtection/>
  <mergeCells count="5">
    <mergeCell ref="B4:X4"/>
    <mergeCell ref="B5:X5"/>
    <mergeCell ref="B3:X3"/>
    <mergeCell ref="B1:M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2018-02-07T05:44:01Z</cp:lastPrinted>
  <dcterms:created xsi:type="dcterms:W3CDTF">2011-06-16T11:06:26Z</dcterms:created>
  <dcterms:modified xsi:type="dcterms:W3CDTF">2018-02-12T07:25:19Z</dcterms:modified>
  <cp:category/>
  <cp:version/>
  <cp:contentType/>
  <cp:contentStatus/>
</cp:coreProperties>
</file>