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<sst xmlns="http://schemas.openxmlformats.org/spreadsheetml/2006/main" count="82" uniqueCount="81">
  <si>
    <t>СПРАВКА</t>
  </si>
  <si>
    <t xml:space="preserve">Начислено  </t>
  </si>
  <si>
    <t>Оплачено</t>
  </si>
  <si>
    <t>Расходы</t>
  </si>
  <si>
    <t>Услуги РИРЦ</t>
  </si>
  <si>
    <t>Вывоз ТБО</t>
  </si>
  <si>
    <t>Тех.обслуж.газового обор.</t>
  </si>
  <si>
    <t>Дератизация, дезинфекция</t>
  </si>
  <si>
    <t>Наименование</t>
  </si>
  <si>
    <t>Задолженность по неплательщикам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</si>
  <si>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</si>
  <si>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</si>
  <si>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</si>
  <si>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</si>
  <si>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</si>
  <si>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</si>
  <si>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</si>
  <si>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</si>
  <si>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</si>
  <si>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</si>
  <si>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</si>
  <si>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</si>
  <si>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</si>
  <si>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</si>
  <si>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</si>
  <si>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</si>
  <si>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</si>
  <si>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</si>
  <si>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№</t>
  </si>
  <si>
    <t>1</t>
  </si>
  <si>
    <t>2</t>
  </si>
  <si>
    <t>3</t>
  </si>
  <si>
    <t>4</t>
  </si>
  <si>
    <t>4.1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</si>
  <si>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</si>
  <si>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</si>
  <si>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</si>
  <si>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</si>
  <si>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</si>
  <si>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</si>
  <si>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</si>
  <si>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</si>
  <si>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</si>
  <si>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5</t>
  </si>
  <si>
    <t>6</t>
  </si>
  <si>
    <t>7</t>
  </si>
  <si>
    <t>8</t>
  </si>
  <si>
    <t>9</t>
  </si>
  <si>
    <t>по жилому дому г. Унеча ул. Иванова д.5</t>
  </si>
  <si>
    <t>за 2010 г</t>
  </si>
  <si>
    <t>10</t>
  </si>
  <si>
    <t>Итого за 2011 г</t>
  </si>
  <si>
    <t>Результат за месяц</t>
  </si>
  <si>
    <t>Благоустройство территории</t>
  </si>
  <si>
    <t>Итого за 2012 г</t>
  </si>
  <si>
    <t>Финансовый результат по дому с начала года по оплате</t>
  </si>
  <si>
    <t>Финансовый результат по дому с начала деятельности по оплате</t>
  </si>
  <si>
    <t>4.12</t>
  </si>
  <si>
    <t>4.13</t>
  </si>
  <si>
    <t>Итого за 2013 г</t>
  </si>
  <si>
    <t xml:space="preserve">%  оплаты </t>
  </si>
  <si>
    <t>Итого за 2014 г</t>
  </si>
  <si>
    <t>рентабельность 5%</t>
  </si>
  <si>
    <t xml:space="preserve">Материалы 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</si>
  <si>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</si>
  <si>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</si>
  <si>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Услуги сторонних орган.</t>
  </si>
  <si>
    <t>Итого за 2015 г</t>
  </si>
  <si>
    <t>Исполнитель  вед. экономист /Викторова Л.С./</t>
  </si>
  <si>
    <t>Итого за 2016 г</t>
  </si>
  <si>
    <t>4.8</t>
  </si>
  <si>
    <t>Проверка вент.каналов</t>
  </si>
  <si>
    <t>Дом по ул.Иванова д.5 вступил в ООО "Наш дом" с апреля 2010 года                                                тариф 8,3 руб</t>
  </si>
  <si>
    <t>Итого за 2017 г</t>
  </si>
  <si>
    <t>Всего за 2010-2017</t>
  </si>
  <si>
    <t>Начислено СОИД</t>
  </si>
  <si>
    <t>Электроэнергия  СОИД</t>
  </si>
  <si>
    <t>Горячая вода СОИД</t>
  </si>
  <si>
    <t>Холодная вола СОИД</t>
  </si>
  <si>
    <t>Канализация СОИД</t>
  </si>
  <si>
    <t>Транспортные(ГСМ,зап.части,амортизация,страхование 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</si>
</sst>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sz val="9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97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5" xfId="0" applyFont="1" applyBorder="1" applyAlignment="1">
      <alignment/>
    </xf>
    <xf numFmtId="0" fontId="23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" fontId="21" fillId="0" borderId="14" xfId="0" applyNumberFormat="1" applyFont="1" applyBorder="1" applyAlignment="1">
      <alignment horizontal="center"/>
    </xf>
    <xf numFmtId="0" fontId="20" fillId="2" borderId="18" xfId="0" applyFont="1" applyFill="1" applyBorder="1" applyAlignment="1">
      <alignment/>
    </xf>
    <xf numFmtId="0" fontId="20" fillId="2" borderId="28" xfId="0" applyFont="1" applyFill="1" applyBorder="1" applyAlignment="1">
      <alignment/>
    </xf>
    <xf numFmtId="0" fontId="0" fillId="2" borderId="26" xfId="0" applyFill="1" applyBorder="1" applyAlignment="1">
      <alignment/>
    </xf>
    <xf numFmtId="0" fontId="25" fillId="0" borderId="26" xfId="0" applyFont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9" xfId="0" applyFont="1" applyBorder="1" applyAlignment="1">
      <alignment horizontal="left" vertical="center" wrapText="1"/>
    </xf>
    <xf numFmtId="0" fontId="24" fillId="0" borderId="30" xfId="0" applyFont="1" applyBorder="1" applyAlignment="1">
      <alignment wrapText="1"/>
    </xf>
    <xf numFmtId="0" fontId="24" fillId="0" borderId="31" xfId="0" applyFont="1" applyBorder="1" applyAlignment="1">
      <alignment wrapText="1"/>
    </xf>
    <xf numFmtId="0" fontId="21" fillId="0" borderId="31" xfId="0" applyFont="1" applyBorder="1" applyAlignment="1">
      <alignment horizontal="left" wrapText="1"/>
    </xf>
    <xf numFmtId="0" fontId="24" fillId="0" borderId="29" xfId="0" applyFont="1" applyBorder="1" applyAlignment="1">
      <alignment wrapText="1"/>
    </xf>
    <xf numFmtId="49" fontId="21" fillId="0" borderId="30" xfId="0" applyNumberFormat="1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3" xfId="0" applyFont="1" applyBorder="1" applyAlignment="1">
      <alignment wrapText="1"/>
    </xf>
    <xf numFmtId="0" fontId="21" fillId="2" borderId="33" xfId="0" applyFont="1" applyFill="1" applyBorder="1" applyAlignment="1">
      <alignment wrapText="1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0" fontId="23" fillId="0" borderId="26" xfId="0" applyFont="1" applyBorder="1" applyAlignment="1">
      <alignment horizontal="left" vertical="center" wrapText="1"/>
    </xf>
    <xf numFmtId="0" fontId="21" fillId="0" borderId="26" xfId="0" applyFont="1" applyBorder="1" applyAlignment="1">
      <alignment wrapText="1"/>
    </xf>
    <xf numFmtId="0" fontId="21" fillId="0" borderId="37" xfId="0" applyFont="1" applyBorder="1" applyAlignment="1">
      <alignment wrapText="1"/>
    </xf>
    <xf numFmtId="0" fontId="21" fillId="2" borderId="37" xfId="0" applyFont="1" applyFill="1" applyBorder="1" applyAlignment="1">
      <alignment wrapText="1"/>
    </xf>
    <xf numFmtId="2" fontId="21" fillId="0" borderId="38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 horizontal="right" wrapText="1"/>
    </xf>
    <xf numFmtId="2" fontId="21" fillId="0" borderId="36" xfId="0" applyNumberFormat="1" applyFont="1" applyBorder="1" applyAlignment="1">
      <alignment horizontal="right" wrapText="1"/>
    </xf>
    <xf numFmtId="0" fontId="22" fillId="0" borderId="0" xfId="0" applyFont="1" applyBorder="1" applyAlignment="1">
      <alignment horizontal="left" wrapText="1"/>
    </xf>
    <xf numFmtId="1" fontId="21" fillId="0" borderId="39" xfId="0" applyNumberFormat="1" applyFont="1" applyBorder="1" applyAlignment="1">
      <alignment horizontal="center"/>
    </xf>
    <xf numFmtId="1" fontId="20" fillId="0" borderId="36" xfId="0" applyNumberFormat="1" applyFont="1" applyBorder="1" applyAlignment="1">
      <alignment horizontal="center"/>
    </xf>
    <xf numFmtId="1" fontId="21" fillId="0" borderId="35" xfId="0" applyNumberFormat="1" applyFont="1" applyBorder="1" applyAlignment="1">
      <alignment horizontal="center"/>
    </xf>
    <xf numFmtId="0" fontId="21" fillId="0" borderId="26" xfId="0" applyFont="1" applyBorder="1" applyAlignment="1">
      <alignment/>
    </xf>
    <xf numFmtId="0" fontId="19" fillId="0" borderId="26" xfId="0" applyFont="1" applyBorder="1" applyAlignment="1">
      <alignment horizontal="center" vertical="center" wrapText="1"/>
    </xf>
    <xf numFmtId="0" fontId="21" fillId="0" borderId="38" xfId="0" applyFont="1" applyBorder="1" applyAlignment="1">
      <alignment/>
    </xf>
    <xf numFmtId="0" fontId="21" fillId="0" borderId="37" xfId="0" applyFont="1" applyBorder="1" applyAlignment="1">
      <alignment/>
    </xf>
    <xf numFmtId="0" fontId="20" fillId="2" borderId="37" xfId="0" applyFont="1" applyFill="1" applyBorder="1" applyAlignment="1">
      <alignment/>
    </xf>
    <xf numFmtId="0" fontId="21" fillId="0" borderId="40" xfId="0" applyFont="1" applyBorder="1" applyAlignment="1">
      <alignment wrapText="1"/>
    </xf>
    <xf numFmtId="2" fontId="21" fillId="0" borderId="37" xfId="0" applyNumberFormat="1" applyFont="1" applyBorder="1" applyAlignment="1">
      <alignment horizontal="right" wrapText="1"/>
    </xf>
    <xf numFmtId="0" fontId="21" fillId="0" borderId="23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2" borderId="28" xfId="0" applyFont="1" applyFill="1" applyBorder="1" applyAlignment="1">
      <alignment wrapText="1"/>
    </xf>
    <xf numFmtId="2" fontId="21" fillId="0" borderId="41" xfId="0" applyNumberFormat="1" applyFont="1" applyBorder="1" applyAlignment="1">
      <alignment horizontal="right" wrapText="1"/>
    </xf>
    <xf numFmtId="2" fontId="21" fillId="0" borderId="42" xfId="0" applyNumberFormat="1" applyFont="1" applyBorder="1" applyAlignment="1">
      <alignment horizontal="right" wrapText="1"/>
    </xf>
    <xf numFmtId="2" fontId="21" fillId="0" borderId="43" xfId="0" applyNumberFormat="1" applyFont="1" applyBorder="1" applyAlignment="1">
      <alignment horizontal="right" wrapText="1"/>
    </xf>
    <xf numFmtId="2" fontId="21" fillId="0" borderId="44" xfId="0" applyNumberFormat="1" applyFont="1" applyBorder="1" applyAlignment="1">
      <alignment horizontal="right" wrapText="1"/>
    </xf>
    <xf numFmtId="0" fontId="26" fillId="0" borderId="34" xfId="0" applyFont="1" applyBorder="1" applyAlignment="1">
      <alignment wrapText="1"/>
    </xf>
    <xf numFmtId="0" fontId="26" fillId="0" borderId="41" xfId="0" applyFont="1" applyBorder="1" applyAlignment="1">
      <alignment wrapText="1"/>
    </xf>
    <xf numFmtId="0" fontId="26" fillId="0" borderId="35" xfId="0" applyFont="1" applyBorder="1" applyAlignment="1">
      <alignment wrapText="1"/>
    </xf>
    <xf numFmtId="0" fontId="26" fillId="0" borderId="42" xfId="0" applyFont="1" applyBorder="1" applyAlignment="1">
      <alignment wrapText="1"/>
    </xf>
    <xf numFmtId="2" fontId="21" fillId="0" borderId="18" xfId="0" applyNumberFormat="1" applyFont="1" applyBorder="1" applyAlignment="1">
      <alignment/>
    </xf>
    <xf numFmtId="2" fontId="21" fillId="0" borderId="26" xfId="0" applyNumberFormat="1" applyFont="1" applyBorder="1" applyAlignment="1">
      <alignment/>
    </xf>
    <xf numFmtId="2" fontId="21" fillId="0" borderId="11" xfId="0" applyNumberFormat="1" applyFont="1" applyBorder="1" applyAlignment="1">
      <alignment/>
    </xf>
    <xf numFmtId="2" fontId="21" fillId="0" borderId="28" xfId="0" applyNumberFormat="1" applyFont="1" applyBorder="1" applyAlignment="1">
      <alignment/>
    </xf>
    <xf numFmtId="2" fontId="21" fillId="0" borderId="23" xfId="0" applyNumberFormat="1" applyFont="1" applyBorder="1" applyAlignment="1">
      <alignment/>
    </xf>
    <xf numFmtId="2" fontId="21" fillId="0" borderId="29" xfId="0" applyNumberFormat="1" applyFont="1" applyBorder="1" applyAlignment="1">
      <alignment/>
    </xf>
    <xf numFmtId="0" fontId="26" fillId="0" borderId="38" xfId="0" applyFont="1" applyBorder="1" applyAlignment="1">
      <alignment wrapText="1"/>
    </xf>
    <xf numFmtId="0" fontId="27" fillId="0" borderId="34" xfId="0" applyFont="1" applyBorder="1" applyAlignment="1">
      <alignment/>
    </xf>
    <xf numFmtId="0" fontId="27" fillId="0" borderId="38" xfId="0" applyFont="1" applyBorder="1" applyAlignment="1">
      <alignment/>
    </xf>
    <xf numFmtId="1" fontId="27" fillId="0" borderId="36" xfId="0" applyNumberFormat="1" applyFont="1" applyBorder="1" applyAlignment="1">
      <alignment horizontal="center"/>
    </xf>
    <xf numFmtId="0" fontId="27" fillId="0" borderId="26" xfId="0" applyFont="1" applyBorder="1" applyAlignment="1">
      <alignment/>
    </xf>
    <xf numFmtId="2" fontId="27" fillId="0" borderId="27" xfId="0" applyNumberFormat="1" applyFont="1" applyBorder="1" applyAlignment="1">
      <alignment/>
    </xf>
    <xf numFmtId="2" fontId="27" fillId="0" borderId="26" xfId="0" applyNumberFormat="1" applyFont="1" applyBorder="1" applyAlignment="1">
      <alignment/>
    </xf>
    <xf numFmtId="2" fontId="27" fillId="0" borderId="38" xfId="0" applyNumberFormat="1" applyFont="1" applyBorder="1" applyAlignment="1">
      <alignment/>
    </xf>
    <xf numFmtId="2" fontId="21" fillId="0" borderId="37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49" fontId="0" fillId="0" borderId="45" xfId="0" applyNumberFormat="1" applyBorder="1" applyAlignment="1">
      <alignment horizontal="center"/>
    </xf>
    <xf numFmtId="49" fontId="0" fillId="0" borderId="38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tabSelected="1" zoomScalePageLayoutView="0" workbookViewId="0" topLeftCell="A16">
      <selection activeCell="N43" sqref="N43"/>
    </sheetView>
  </sheetViews>
  <sheetFormatPr defaultColWidth="9.00390625" defaultRowHeight="12.75"/>
  <cols>
    <col min="1" max="1" width="3.75390625" style="32" customWidth="1"/>
    <col min="2" max="2" width="23.375" style="0" customWidth="1"/>
    <col min="3" max="3" width="7.125" style="0" hidden="1" customWidth="1"/>
    <col min="4" max="4" width="10.00390625" style="0" hidden="1" customWidth="1"/>
    <col min="5" max="5" width="9.875" style="0" hidden="1" customWidth="1"/>
    <col min="6" max="6" width="9.625" style="0" hidden="1" customWidth="1"/>
    <col min="7" max="7" width="9.375" style="0" hidden="1" customWidth="1"/>
    <col min="8" max="8" width="9.625" style="0" hidden="1" customWidth="1"/>
    <col min="9" max="9" width="9.375" style="0" hidden="1" customWidth="1"/>
    <col min="10" max="10" width="7.875" style="0" customWidth="1"/>
    <col min="11" max="11" width="8.125" style="0" customWidth="1"/>
    <col min="12" max="12" width="7.875" style="0" customWidth="1"/>
    <col min="13" max="13" width="8.625" style="0" customWidth="1"/>
    <col min="14" max="14" width="8.125" style="0" customWidth="1"/>
    <col min="15" max="15" width="8.875" style="0" customWidth="1"/>
    <col min="16" max="17" width="8.125" style="0" customWidth="1"/>
    <col min="18" max="18" width="8.375" style="0" customWidth="1"/>
    <col min="19" max="19" width="7.75390625" style="0" customWidth="1"/>
    <col min="20" max="20" width="9.125" style="0" customWidth="1"/>
    <col min="21" max="21" width="8.375" style="0" customWidth="1"/>
    <col min="22" max="22" width="10.375" style="0" customWidth="1"/>
    <col min="23" max="23" width="9.875" style="0" hidden="1" customWidth="1"/>
  </cols>
  <sheetData>
    <row r="1" spans="2:28" ht="12.75" customHeight="1">
      <c r="B1" s="93" t="s">
        <v>10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 customHeight="1">
      <c r="B2" s="93" t="s">
        <v>72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54"/>
      <c r="W2" s="4"/>
      <c r="X2" s="4"/>
      <c r="Y2" s="4"/>
      <c r="Z2" s="4"/>
      <c r="AA2" s="4"/>
      <c r="AB2" s="4"/>
    </row>
    <row r="3" spans="2:28" ht="12.75" customHeight="1">
      <c r="B3" s="92" t="s">
        <v>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3"/>
      <c r="Y3" s="3"/>
      <c r="Z3" s="3"/>
      <c r="AA3" s="3"/>
      <c r="AB3" s="3"/>
    </row>
    <row r="4" spans="2:28" ht="15" customHeight="1">
      <c r="B4" s="91" t="s">
        <v>12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2"/>
      <c r="Y4" s="2"/>
      <c r="Z4" s="2"/>
      <c r="AA4" s="2"/>
      <c r="AB4" s="2"/>
    </row>
    <row r="5" spans="2:28" ht="16.5" customHeight="1" thickBot="1">
      <c r="B5" s="91" t="s">
        <v>48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2"/>
      <c r="Y5" s="2"/>
      <c r="Z5" s="2"/>
      <c r="AA5" s="2"/>
      <c r="AB5" s="2"/>
    </row>
    <row r="6" spans="2:28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2"/>
      <c r="Y6" s="2"/>
      <c r="Z6" s="2"/>
      <c r="AA6" s="2"/>
      <c r="AB6" s="2"/>
    </row>
    <row r="7" spans="1:28" ht="31.5" customHeight="1" thickBot="1">
      <c r="A7" s="44" t="s">
        <v>28</v>
      </c>
      <c r="B7" s="33" t="s">
        <v>8</v>
      </c>
      <c r="C7" s="47" t="s">
        <v>49</v>
      </c>
      <c r="D7" s="59" t="s">
        <v>51</v>
      </c>
      <c r="E7" s="59" t="s">
        <v>54</v>
      </c>
      <c r="F7" s="59" t="s">
        <v>59</v>
      </c>
      <c r="G7" s="59" t="s">
        <v>61</v>
      </c>
      <c r="H7" s="59" t="s">
        <v>67</v>
      </c>
      <c r="I7" s="59" t="s">
        <v>69</v>
      </c>
      <c r="J7" s="6" t="s">
        <v>13</v>
      </c>
      <c r="K7" s="5" t="s">
        <v>14</v>
      </c>
      <c r="L7" s="5" t="s">
        <v>15</v>
      </c>
      <c r="M7" s="5" t="s">
        <v>16</v>
      </c>
      <c r="N7" s="5" t="s">
        <v>17</v>
      </c>
      <c r="O7" s="5" t="s">
        <v>18</v>
      </c>
      <c r="P7" s="5" t="s">
        <v>19</v>
      </c>
      <c r="Q7" s="5" t="s">
        <v>20</v>
      </c>
      <c r="R7" s="5" t="s">
        <v>21</v>
      </c>
      <c r="S7" s="5" t="s">
        <v>22</v>
      </c>
      <c r="T7" s="5" t="s">
        <v>24</v>
      </c>
      <c r="U7" s="17" t="s">
        <v>23</v>
      </c>
      <c r="V7" s="59" t="s">
        <v>73</v>
      </c>
      <c r="W7" s="24" t="s">
        <v>74</v>
      </c>
      <c r="X7" s="1"/>
      <c r="Y7" s="1"/>
      <c r="Z7" s="1"/>
      <c r="AA7" s="1"/>
      <c r="AB7" s="1"/>
    </row>
    <row r="8" spans="1:23" ht="13.5" thickBot="1">
      <c r="A8" s="45" t="s">
        <v>29</v>
      </c>
      <c r="B8" s="34" t="s">
        <v>1</v>
      </c>
      <c r="C8" s="72">
        <v>47928.96</v>
      </c>
      <c r="D8" s="73">
        <v>63883.04</v>
      </c>
      <c r="E8" s="72">
        <v>63951.13</v>
      </c>
      <c r="F8" s="72">
        <v>65212.2</v>
      </c>
      <c r="G8" s="82">
        <v>65098.68</v>
      </c>
      <c r="H8" s="72">
        <v>65098.68</v>
      </c>
      <c r="I8" s="72">
        <v>65098.63</v>
      </c>
      <c r="J8" s="7">
        <v>5424.88</v>
      </c>
      <c r="K8" s="8">
        <v>5424.88</v>
      </c>
      <c r="L8" s="8">
        <v>5424.88</v>
      </c>
      <c r="M8" s="8">
        <v>5424.88</v>
      </c>
      <c r="N8" s="8">
        <v>5424.88</v>
      </c>
      <c r="O8" s="8">
        <v>5424.88</v>
      </c>
      <c r="P8" s="8">
        <v>5424.88</v>
      </c>
      <c r="Q8" s="8">
        <v>5424.88</v>
      </c>
      <c r="R8" s="8">
        <v>5424.88</v>
      </c>
      <c r="S8" s="8">
        <v>5424.88</v>
      </c>
      <c r="T8" s="8">
        <v>5422.39</v>
      </c>
      <c r="U8" s="18">
        <v>5422.39</v>
      </c>
      <c r="V8" s="60">
        <f>SUM(J8:U8)</f>
        <v>65093.579999999994</v>
      </c>
      <c r="W8" s="83">
        <f>SUM(C8:U8)</f>
        <v>501364.9000000001</v>
      </c>
    </row>
    <row r="9" spans="1:23" ht="12.75">
      <c r="A9" s="45"/>
      <c r="B9" s="34" t="s">
        <v>75</v>
      </c>
      <c r="C9" s="82"/>
      <c r="D9" s="73"/>
      <c r="E9" s="82"/>
      <c r="F9" s="82"/>
      <c r="G9" s="82"/>
      <c r="H9" s="82"/>
      <c r="I9" s="82">
        <v>0</v>
      </c>
      <c r="J9" s="7">
        <f>379.05+19.4+118.85</f>
        <v>517.3</v>
      </c>
      <c r="K9" s="8">
        <f>379.05+19.4+118.85</f>
        <v>517.3</v>
      </c>
      <c r="L9" s="8">
        <f>379.05+19.4+118.85</f>
        <v>517.3</v>
      </c>
      <c r="M9" s="8">
        <f>379.05+19.4+118.85</f>
        <v>517.3</v>
      </c>
      <c r="N9" s="8">
        <f>379.05+19.4+118.85</f>
        <v>517.3</v>
      </c>
      <c r="O9" s="8">
        <f>261.56+29.56+81.74+20.61</f>
        <v>393.47</v>
      </c>
      <c r="P9" s="8">
        <f>274.34+20.83+30.27+83.93</f>
        <v>409.36999999999995</v>
      </c>
      <c r="Q9" s="8">
        <f>274.34+20.83+30.27+83.93</f>
        <v>409.36999999999995</v>
      </c>
      <c r="R9" s="8">
        <f>274.34+20.83+30.27+83.93</f>
        <v>409.36999999999995</v>
      </c>
      <c r="S9" s="8">
        <f>274.34+20.83+30.27+83.93</f>
        <v>409.36999999999995</v>
      </c>
      <c r="T9" s="8">
        <f>274.33+20.83+30.27+83.92</f>
        <v>409.34999999999997</v>
      </c>
      <c r="U9" s="18">
        <f>274.33+20.83+30.27+83.92</f>
        <v>409.34999999999997</v>
      </c>
      <c r="V9" s="60">
        <f>SUM(J9:U9)</f>
        <v>5436.150000000001</v>
      </c>
      <c r="W9" s="83">
        <f>SUM(C9:U9)</f>
        <v>5436.150000000001</v>
      </c>
    </row>
    <row r="10" spans="1:23" ht="12.75">
      <c r="A10" s="45" t="s">
        <v>30</v>
      </c>
      <c r="B10" s="35" t="s">
        <v>2</v>
      </c>
      <c r="C10" s="74">
        <v>41704.33</v>
      </c>
      <c r="D10" s="75">
        <v>65259.77</v>
      </c>
      <c r="E10" s="74">
        <v>62456.03</v>
      </c>
      <c r="F10" s="74">
        <v>66237.19</v>
      </c>
      <c r="G10" s="74">
        <v>64092.61</v>
      </c>
      <c r="H10" s="74">
        <v>65083.92</v>
      </c>
      <c r="I10" s="74">
        <v>67047.34</v>
      </c>
      <c r="J10" s="9">
        <v>5113.54</v>
      </c>
      <c r="K10" s="10">
        <v>5566.7</v>
      </c>
      <c r="L10" s="10">
        <v>5196.68</v>
      </c>
      <c r="M10" s="10">
        <v>5397.59</v>
      </c>
      <c r="N10" s="10">
        <v>6105.83</v>
      </c>
      <c r="O10" s="10">
        <v>7377.88</v>
      </c>
      <c r="P10" s="10">
        <v>5989.83</v>
      </c>
      <c r="Q10" s="10">
        <v>5465.59</v>
      </c>
      <c r="R10" s="10">
        <v>5465.59</v>
      </c>
      <c r="S10" s="10">
        <v>5465.59</v>
      </c>
      <c r="T10" s="10">
        <v>5465.59</v>
      </c>
      <c r="U10" s="19">
        <v>5577.63</v>
      </c>
      <c r="V10" s="60">
        <f>SUM(J10:U10)</f>
        <v>68188.04</v>
      </c>
      <c r="W10" s="84">
        <f>SUM(C10:U10)</f>
        <v>500069.2300000001</v>
      </c>
    </row>
    <row r="11" spans="1:23" ht="16.5" customHeight="1" thickBot="1">
      <c r="A11" s="45" t="s">
        <v>31</v>
      </c>
      <c r="B11" s="36" t="s">
        <v>60</v>
      </c>
      <c r="C11" s="57">
        <f aca="true" t="shared" si="0" ref="C11:J11">SUM(C10/C8*100)</f>
        <v>87.01279977700331</v>
      </c>
      <c r="D11" s="55">
        <f t="shared" si="0"/>
        <v>102.15507903193084</v>
      </c>
      <c r="E11" s="57">
        <f t="shared" si="0"/>
        <v>97.66212106025336</v>
      </c>
      <c r="F11" s="57">
        <f t="shared" si="0"/>
        <v>101.5717764467385</v>
      </c>
      <c r="G11" s="57">
        <f t="shared" si="0"/>
        <v>98.454546236575</v>
      </c>
      <c r="H11" s="57">
        <f>SUM(H10/H8*100)</f>
        <v>99.97732672920556</v>
      </c>
      <c r="I11" s="57">
        <f>SUM(I10/I8*100)</f>
        <v>102.99347313453447</v>
      </c>
      <c r="J11" s="27">
        <f t="shared" si="0"/>
        <v>94.26088687676041</v>
      </c>
      <c r="K11" s="27">
        <f aca="true" t="shared" si="1" ref="K11:U11">SUM(K10/K8*100)</f>
        <v>102.61425137514561</v>
      </c>
      <c r="L11" s="27">
        <f t="shared" si="1"/>
        <v>95.79345533910428</v>
      </c>
      <c r="M11" s="27">
        <f t="shared" si="1"/>
        <v>99.4969473979148</v>
      </c>
      <c r="N11" s="27">
        <f t="shared" si="1"/>
        <v>112.55235138841782</v>
      </c>
      <c r="O11" s="27">
        <f t="shared" si="1"/>
        <v>136.00079633097874</v>
      </c>
      <c r="P11" s="27">
        <f t="shared" si="1"/>
        <v>110.41405524177492</v>
      </c>
      <c r="Q11" s="27">
        <f t="shared" si="1"/>
        <v>100.75043134594684</v>
      </c>
      <c r="R11" s="27">
        <f t="shared" si="1"/>
        <v>100.75043134594684</v>
      </c>
      <c r="S11" s="27">
        <f t="shared" si="1"/>
        <v>100.75043134594684</v>
      </c>
      <c r="T11" s="27">
        <f t="shared" si="1"/>
        <v>100.79669665959105</v>
      </c>
      <c r="U11" s="55">
        <f t="shared" si="1"/>
        <v>102.86294419988234</v>
      </c>
      <c r="V11" s="56">
        <f>SUM(V10/V8*100)</f>
        <v>104.75386359146324</v>
      </c>
      <c r="W11" s="85">
        <f>SUM(W10/W8*100)</f>
        <v>99.74157145823331</v>
      </c>
    </row>
    <row r="12" spans="1:23" ht="13.5" thickBot="1">
      <c r="A12" s="45" t="s">
        <v>32</v>
      </c>
      <c r="B12" s="37" t="s">
        <v>3</v>
      </c>
      <c r="C12" s="58">
        <f aca="true" t="shared" si="2" ref="C12:J12">SUM(C13:C28)</f>
        <v>41451.78</v>
      </c>
      <c r="D12" s="20">
        <f t="shared" si="2"/>
        <v>85289.52</v>
      </c>
      <c r="E12" s="58">
        <f t="shared" si="2"/>
        <v>71512.19</v>
      </c>
      <c r="F12" s="58">
        <f t="shared" si="2"/>
        <v>79276.18</v>
      </c>
      <c r="G12" s="58">
        <f t="shared" si="2"/>
        <v>77485.14</v>
      </c>
      <c r="H12" s="58">
        <f>SUM(H13:H28)</f>
        <v>73830.37</v>
      </c>
      <c r="I12" s="58">
        <f>SUM(I13:I28)</f>
        <v>72429.19</v>
      </c>
      <c r="J12" s="13">
        <f t="shared" si="2"/>
        <v>6740.97</v>
      </c>
      <c r="K12" s="13">
        <f aca="true" t="shared" si="3" ref="K12:U12">SUM(K13:K28)</f>
        <v>6180.529999999999</v>
      </c>
      <c r="L12" s="13">
        <f t="shared" si="3"/>
        <v>5599.829999999999</v>
      </c>
      <c r="M12" s="13">
        <f t="shared" si="3"/>
        <v>6666.08</v>
      </c>
      <c r="N12" s="13">
        <f t="shared" si="3"/>
        <v>6079.539999999999</v>
      </c>
      <c r="O12" s="13">
        <f t="shared" si="3"/>
        <v>7308.169999999999</v>
      </c>
      <c r="P12" s="13">
        <f t="shared" si="3"/>
        <v>6066.22</v>
      </c>
      <c r="Q12" s="13">
        <f t="shared" si="3"/>
        <v>8532.27</v>
      </c>
      <c r="R12" s="13">
        <f t="shared" si="3"/>
        <v>9018.649999999998</v>
      </c>
      <c r="S12" s="13">
        <f t="shared" si="3"/>
        <v>5754.8099999999995</v>
      </c>
      <c r="T12" s="13">
        <f t="shared" si="3"/>
        <v>6856.149999999999</v>
      </c>
      <c r="U12" s="20">
        <f t="shared" si="3"/>
        <v>6652.550000000001</v>
      </c>
      <c r="V12" s="58">
        <f>SUM(J12:U12)</f>
        <v>81455.76999999999</v>
      </c>
      <c r="W12" s="86">
        <f aca="true" t="shared" si="4" ref="W12:W28">SUM(C12:U12)</f>
        <v>582730.1400000002</v>
      </c>
    </row>
    <row r="13" spans="1:23" ht="13.5" thickBot="1">
      <c r="A13" s="45" t="s">
        <v>33</v>
      </c>
      <c r="B13" s="38" t="s">
        <v>5</v>
      </c>
      <c r="C13" s="51">
        <v>8240.58</v>
      </c>
      <c r="D13" s="68">
        <v>12524.85</v>
      </c>
      <c r="E13" s="51">
        <v>13713.62</v>
      </c>
      <c r="F13" s="51">
        <v>15512.45</v>
      </c>
      <c r="G13" s="51">
        <v>15879.7</v>
      </c>
      <c r="H13" s="51">
        <v>15543.22</v>
      </c>
      <c r="I13" s="51">
        <v>15775.27</v>
      </c>
      <c r="J13" s="7">
        <f>1219+15.08</f>
        <v>1234.08</v>
      </c>
      <c r="K13" s="8">
        <f>1219+70.86</f>
        <v>1289.86</v>
      </c>
      <c r="L13" s="8">
        <f>1219+41.61</f>
        <v>1260.61</v>
      </c>
      <c r="M13" s="8">
        <f>1219+131.86</f>
        <v>1350.8600000000001</v>
      </c>
      <c r="N13" s="8">
        <f>1219+65.82</f>
        <v>1284.82</v>
      </c>
      <c r="O13" s="8">
        <f>1219+40.23</f>
        <v>1259.23</v>
      </c>
      <c r="P13" s="8">
        <f>1219+63.38</f>
        <v>1282.38</v>
      </c>
      <c r="Q13" s="8">
        <f>1219+73.69</f>
        <v>1292.69</v>
      </c>
      <c r="R13" s="8">
        <f>1219+76.23</f>
        <v>1295.23</v>
      </c>
      <c r="S13" s="8">
        <f>1219+79.24</f>
        <v>1298.24</v>
      </c>
      <c r="T13" s="8">
        <f>1219+69.25</f>
        <v>1288.25</v>
      </c>
      <c r="U13" s="18">
        <f>1219+69.38</f>
        <v>1288.38</v>
      </c>
      <c r="V13" s="58">
        <f aca="true" t="shared" si="5" ref="V13:V30">SUM(J13:U13)</f>
        <v>15424.630000000001</v>
      </c>
      <c r="W13" s="87">
        <f t="shared" si="4"/>
        <v>112614.32000000002</v>
      </c>
    </row>
    <row r="14" spans="1:23" ht="12.75" customHeight="1" thickBot="1">
      <c r="A14" s="45" t="s">
        <v>34</v>
      </c>
      <c r="B14" s="39" t="s">
        <v>66</v>
      </c>
      <c r="C14" s="52">
        <v>10194.05</v>
      </c>
      <c r="D14" s="69">
        <v>6458.51</v>
      </c>
      <c r="E14" s="52">
        <v>99.21</v>
      </c>
      <c r="F14" s="52">
        <v>2882.3</v>
      </c>
      <c r="G14" s="52">
        <v>3477</v>
      </c>
      <c r="H14" s="52">
        <v>3790.33</v>
      </c>
      <c r="I14" s="52">
        <v>2141.84</v>
      </c>
      <c r="J14" s="9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9"/>
      <c r="V14" s="58">
        <f t="shared" si="5"/>
        <v>0</v>
      </c>
      <c r="W14" s="88">
        <f t="shared" si="4"/>
        <v>29043.239999999994</v>
      </c>
    </row>
    <row r="15" spans="1:23" ht="14.25" customHeight="1" thickBot="1">
      <c r="A15" s="45" t="s">
        <v>35</v>
      </c>
      <c r="B15" s="36" t="s">
        <v>6</v>
      </c>
      <c r="C15" s="52">
        <v>0</v>
      </c>
      <c r="D15" s="69">
        <v>9156.45</v>
      </c>
      <c r="E15" s="52">
        <v>0</v>
      </c>
      <c r="F15" s="52">
        <v>0</v>
      </c>
      <c r="G15" s="52">
        <v>2695</v>
      </c>
      <c r="H15" s="52">
        <v>0</v>
      </c>
      <c r="I15" s="52">
        <v>0</v>
      </c>
      <c r="J15" s="9"/>
      <c r="K15" s="10"/>
      <c r="L15" s="10"/>
      <c r="M15" s="10"/>
      <c r="N15" s="10"/>
      <c r="O15" s="10"/>
      <c r="P15" s="10"/>
      <c r="Q15" s="10"/>
      <c r="R15" s="10">
        <v>2901.5</v>
      </c>
      <c r="S15" s="10"/>
      <c r="T15" s="10"/>
      <c r="U15" s="19"/>
      <c r="V15" s="58">
        <f t="shared" si="5"/>
        <v>2901.5</v>
      </c>
      <c r="W15" s="87">
        <f t="shared" si="4"/>
        <v>14752.95</v>
      </c>
    </row>
    <row r="16" spans="1:23" ht="15" customHeight="1" thickBot="1">
      <c r="A16" s="45" t="s">
        <v>36</v>
      </c>
      <c r="B16" s="39" t="s">
        <v>63</v>
      </c>
      <c r="C16" s="52">
        <v>2561.68</v>
      </c>
      <c r="D16" s="69">
        <v>16851.25</v>
      </c>
      <c r="E16" s="52">
        <v>4737.15</v>
      </c>
      <c r="F16" s="52">
        <v>4093.84</v>
      </c>
      <c r="G16" s="52">
        <v>289.99</v>
      </c>
      <c r="H16" s="52">
        <v>800.77</v>
      </c>
      <c r="I16" s="52">
        <v>3039.53</v>
      </c>
      <c r="J16" s="9"/>
      <c r="K16" s="10"/>
      <c r="L16" s="10"/>
      <c r="M16" s="10"/>
      <c r="N16" s="10"/>
      <c r="O16" s="10">
        <v>300</v>
      </c>
      <c r="P16" s="10"/>
      <c r="Q16" s="10">
        <f>1648.92+95</f>
        <v>1743.92</v>
      </c>
      <c r="R16" s="10">
        <v>405.9</v>
      </c>
      <c r="S16" s="10"/>
      <c r="T16" s="10"/>
      <c r="U16" s="19"/>
      <c r="V16" s="58">
        <f t="shared" si="5"/>
        <v>2449.82</v>
      </c>
      <c r="W16" s="88">
        <f t="shared" si="4"/>
        <v>34824.030000000006</v>
      </c>
    </row>
    <row r="17" spans="1:23" ht="14.25" customHeight="1" thickBot="1">
      <c r="A17" s="45" t="s">
        <v>37</v>
      </c>
      <c r="B17" s="39" t="s">
        <v>53</v>
      </c>
      <c r="C17" s="52"/>
      <c r="D17" s="69"/>
      <c r="E17" s="52">
        <v>256</v>
      </c>
      <c r="F17" s="52">
        <v>0</v>
      </c>
      <c r="G17" s="52">
        <v>12.12</v>
      </c>
      <c r="H17" s="52">
        <v>0</v>
      </c>
      <c r="I17" s="52">
        <v>186</v>
      </c>
      <c r="J17" s="9">
        <v>8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9">
        <v>49.88</v>
      </c>
      <c r="V17" s="58">
        <f t="shared" si="5"/>
        <v>57.88</v>
      </c>
      <c r="W17" s="88">
        <f t="shared" si="4"/>
        <v>512</v>
      </c>
    </row>
    <row r="18" spans="1:23" ht="14.25" customHeight="1" thickBot="1">
      <c r="A18" s="45" t="s">
        <v>38</v>
      </c>
      <c r="B18" s="39" t="s">
        <v>76</v>
      </c>
      <c r="C18" s="52">
        <v>1628</v>
      </c>
      <c r="D18" s="69">
        <v>1547.87</v>
      </c>
      <c r="E18" s="52">
        <v>730.77</v>
      </c>
      <c r="F18" s="52">
        <v>0</v>
      </c>
      <c r="G18" s="52"/>
      <c r="H18" s="52">
        <v>0</v>
      </c>
      <c r="I18" s="52">
        <v>0</v>
      </c>
      <c r="J18" s="9">
        <v>379.05</v>
      </c>
      <c r="K18" s="10">
        <v>379.05</v>
      </c>
      <c r="L18" s="10">
        <v>379.05</v>
      </c>
      <c r="M18" s="10">
        <v>379.05</v>
      </c>
      <c r="N18" s="10">
        <v>379.05</v>
      </c>
      <c r="O18" s="10">
        <v>261.56</v>
      </c>
      <c r="P18" s="10">
        <v>274.34</v>
      </c>
      <c r="Q18" s="10">
        <v>274.34</v>
      </c>
      <c r="R18" s="10">
        <v>274.34</v>
      </c>
      <c r="S18" s="10">
        <v>274.34</v>
      </c>
      <c r="T18" s="10">
        <v>274.33</v>
      </c>
      <c r="U18" s="19">
        <v>274.33</v>
      </c>
      <c r="V18" s="58">
        <f t="shared" si="5"/>
        <v>3802.8300000000004</v>
      </c>
      <c r="W18" s="88">
        <f t="shared" si="4"/>
        <v>7709.470000000001</v>
      </c>
    </row>
    <row r="19" spans="1:23" ht="14.25" customHeight="1" thickBot="1">
      <c r="A19" s="45"/>
      <c r="B19" s="39" t="s">
        <v>77</v>
      </c>
      <c r="C19" s="52"/>
      <c r="D19" s="69"/>
      <c r="E19" s="52"/>
      <c r="F19" s="52"/>
      <c r="G19" s="52"/>
      <c r="H19" s="52"/>
      <c r="I19" s="52"/>
      <c r="J19" s="9">
        <v>118.85</v>
      </c>
      <c r="K19" s="10">
        <v>118.85</v>
      </c>
      <c r="L19" s="10">
        <v>118.85</v>
      </c>
      <c r="M19" s="10">
        <v>118.85</v>
      </c>
      <c r="N19" s="10">
        <v>118.85</v>
      </c>
      <c r="O19" s="10">
        <v>81.74</v>
      </c>
      <c r="P19" s="10">
        <v>20.82</v>
      </c>
      <c r="Q19" s="10">
        <v>20.82</v>
      </c>
      <c r="R19" s="10">
        <v>20.82</v>
      </c>
      <c r="S19" s="10">
        <v>20.82</v>
      </c>
      <c r="T19" s="10">
        <v>20.82</v>
      </c>
      <c r="U19" s="19">
        <v>20.82</v>
      </c>
      <c r="V19" s="58">
        <f>SUM(J19:U19)</f>
        <v>800.9100000000003</v>
      </c>
      <c r="W19" s="87">
        <f>SUM(C19:U19)</f>
        <v>800.9100000000003</v>
      </c>
    </row>
    <row r="20" spans="1:23" ht="14.25" customHeight="1" thickBot="1">
      <c r="A20" s="45"/>
      <c r="B20" s="39" t="s">
        <v>78</v>
      </c>
      <c r="C20" s="52"/>
      <c r="D20" s="69"/>
      <c r="E20" s="52"/>
      <c r="F20" s="52"/>
      <c r="G20" s="52"/>
      <c r="H20" s="52"/>
      <c r="I20" s="52"/>
      <c r="J20" s="9"/>
      <c r="K20" s="10"/>
      <c r="L20" s="10"/>
      <c r="M20" s="10"/>
      <c r="N20" s="10">
        <v>77.64</v>
      </c>
      <c r="O20" s="10">
        <v>40.03</v>
      </c>
      <c r="P20" s="10">
        <v>83.93</v>
      </c>
      <c r="Q20" s="10">
        <v>83.93</v>
      </c>
      <c r="R20" s="10">
        <v>83.93</v>
      </c>
      <c r="S20" s="10">
        <v>83.93</v>
      </c>
      <c r="T20" s="10">
        <v>83.93</v>
      </c>
      <c r="U20" s="19">
        <v>83.93</v>
      </c>
      <c r="V20" s="58">
        <f>SUM(J20:U20)</f>
        <v>621.25</v>
      </c>
      <c r="W20" s="88">
        <f>SUM(C20:U20)</f>
        <v>621.25</v>
      </c>
    </row>
    <row r="21" spans="1:23" ht="14.25" customHeight="1" thickBot="1">
      <c r="A21" s="45"/>
      <c r="B21" s="39" t="s">
        <v>79</v>
      </c>
      <c r="C21" s="52"/>
      <c r="D21" s="69"/>
      <c r="E21" s="52"/>
      <c r="F21" s="52"/>
      <c r="G21" s="52"/>
      <c r="H21" s="52"/>
      <c r="I21" s="52"/>
      <c r="J21" s="9"/>
      <c r="K21" s="10"/>
      <c r="L21" s="10"/>
      <c r="M21" s="10"/>
      <c r="N21" s="10"/>
      <c r="O21" s="10">
        <v>29.57</v>
      </c>
      <c r="P21" s="10">
        <v>30.28</v>
      </c>
      <c r="Q21" s="10">
        <v>30.28</v>
      </c>
      <c r="R21" s="10">
        <v>30.28</v>
      </c>
      <c r="S21" s="10">
        <v>30.28</v>
      </c>
      <c r="T21" s="10">
        <v>30.28</v>
      </c>
      <c r="U21" s="19">
        <v>30.28</v>
      </c>
      <c r="V21" s="58">
        <f>SUM(J21:U21)</f>
        <v>211.25</v>
      </c>
      <c r="W21" s="87">
        <f>SUM(C21:U21)</f>
        <v>211.25</v>
      </c>
    </row>
    <row r="22" spans="1:23" ht="15" customHeight="1" thickBot="1">
      <c r="A22" s="45" t="s">
        <v>39</v>
      </c>
      <c r="B22" s="39" t="s">
        <v>7</v>
      </c>
      <c r="C22" s="52">
        <v>756.93</v>
      </c>
      <c r="D22" s="69">
        <v>703.78</v>
      </c>
      <c r="E22" s="52">
        <v>628.53</v>
      </c>
      <c r="F22" s="52">
        <v>563.92</v>
      </c>
      <c r="G22" s="52"/>
      <c r="H22" s="52">
        <v>0</v>
      </c>
      <c r="I22" s="52">
        <v>0</v>
      </c>
      <c r="J22" s="9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9"/>
      <c r="V22" s="58">
        <f t="shared" si="5"/>
        <v>0</v>
      </c>
      <c r="W22" s="88">
        <f t="shared" si="4"/>
        <v>2653.16</v>
      </c>
    </row>
    <row r="23" spans="1:23" ht="15" customHeight="1" thickBot="1">
      <c r="A23" s="45" t="s">
        <v>70</v>
      </c>
      <c r="B23" s="39" t="s">
        <v>71</v>
      </c>
      <c r="C23" s="52"/>
      <c r="D23" s="69"/>
      <c r="E23" s="52"/>
      <c r="F23" s="52"/>
      <c r="G23" s="52"/>
      <c r="H23" s="52"/>
      <c r="I23" s="52">
        <v>900</v>
      </c>
      <c r="J23" s="9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9"/>
      <c r="V23" s="58">
        <f>SUM(J23:U23)</f>
        <v>0</v>
      </c>
      <c r="W23" s="88">
        <f>SUM(C23:U23)</f>
        <v>900</v>
      </c>
    </row>
    <row r="24" spans="1:23" ht="21" customHeight="1" thickBot="1">
      <c r="A24" s="45" t="s">
        <v>40</v>
      </c>
      <c r="B24" s="39" t="s">
        <v>80</v>
      </c>
      <c r="C24" s="52">
        <v>873.84</v>
      </c>
      <c r="D24" s="69">
        <v>3113.89</v>
      </c>
      <c r="E24" s="52">
        <v>4975.33</v>
      </c>
      <c r="F24" s="52">
        <v>4508.1</v>
      </c>
      <c r="G24" s="52">
        <v>2663.31</v>
      </c>
      <c r="H24" s="52">
        <v>3141.2</v>
      </c>
      <c r="I24" s="52">
        <v>3321.73</v>
      </c>
      <c r="J24" s="9">
        <v>281.24</v>
      </c>
      <c r="K24" s="10">
        <v>262.97</v>
      </c>
      <c r="L24" s="10">
        <v>326.91</v>
      </c>
      <c r="M24" s="10">
        <v>242.96</v>
      </c>
      <c r="N24" s="10">
        <v>258.74</v>
      </c>
      <c r="O24" s="10">
        <v>290.98</v>
      </c>
      <c r="P24" s="10">
        <v>235.83</v>
      </c>
      <c r="Q24" s="10">
        <v>272.78</v>
      </c>
      <c r="R24" s="10">
        <v>256.58</v>
      </c>
      <c r="S24" s="10">
        <v>327.35</v>
      </c>
      <c r="T24" s="10">
        <v>338.45</v>
      </c>
      <c r="U24" s="19">
        <v>279.98</v>
      </c>
      <c r="V24" s="58">
        <f t="shared" si="5"/>
        <v>3374.7699999999995</v>
      </c>
      <c r="W24" s="87">
        <f t="shared" si="4"/>
        <v>25972.170000000002</v>
      </c>
    </row>
    <row r="25" spans="1:23" ht="24.75" customHeight="1" thickBot="1">
      <c r="A25" s="45" t="s">
        <v>41</v>
      </c>
      <c r="B25" s="39" t="s">
        <v>64</v>
      </c>
      <c r="C25" s="52">
        <v>1436.71</v>
      </c>
      <c r="D25" s="69">
        <v>1795.56</v>
      </c>
      <c r="E25" s="52">
        <v>508.52</v>
      </c>
      <c r="F25" s="52">
        <v>369.02</v>
      </c>
      <c r="G25" s="52">
        <v>801.19</v>
      </c>
      <c r="H25" s="52">
        <v>541.35</v>
      </c>
      <c r="I25" s="52">
        <v>472.54</v>
      </c>
      <c r="J25" s="9">
        <v>61.8</v>
      </c>
      <c r="K25" s="10">
        <v>19.02</v>
      </c>
      <c r="L25" s="10">
        <v>20.41</v>
      </c>
      <c r="M25" s="10">
        <v>18.88</v>
      </c>
      <c r="N25" s="10">
        <v>18.32</v>
      </c>
      <c r="O25" s="10">
        <v>28.48</v>
      </c>
      <c r="P25" s="10">
        <v>26.76</v>
      </c>
      <c r="Q25" s="10">
        <v>82.38</v>
      </c>
      <c r="R25" s="10">
        <v>19.23</v>
      </c>
      <c r="S25" s="10">
        <v>28.43</v>
      </c>
      <c r="T25" s="10">
        <v>19.22</v>
      </c>
      <c r="U25" s="19">
        <v>26.2</v>
      </c>
      <c r="V25" s="58">
        <f t="shared" si="5"/>
        <v>369.12999999999994</v>
      </c>
      <c r="W25" s="88">
        <f t="shared" si="4"/>
        <v>6294.02</v>
      </c>
    </row>
    <row r="26" spans="1:23" ht="34.5" thickBot="1">
      <c r="A26" s="45" t="s">
        <v>42</v>
      </c>
      <c r="B26" s="39" t="s">
        <v>65</v>
      </c>
      <c r="C26" s="52">
        <v>468.62</v>
      </c>
      <c r="D26" s="69">
        <v>2696.35</v>
      </c>
      <c r="E26" s="52">
        <v>2648.32</v>
      </c>
      <c r="F26" s="52">
        <v>3619.93</v>
      </c>
      <c r="G26" s="52">
        <v>3106.7</v>
      </c>
      <c r="H26" s="52">
        <v>4013.02</v>
      </c>
      <c r="I26" s="52">
        <v>3334.14</v>
      </c>
      <c r="J26" s="9">
        <f>12.4+86.34+141.33</f>
        <v>240.07000000000002</v>
      </c>
      <c r="K26" s="10">
        <f>12.34+102.31+86.66</f>
        <v>201.31</v>
      </c>
      <c r="L26" s="10">
        <f>12.15+113.71+152.21</f>
        <v>278.07</v>
      </c>
      <c r="M26" s="10">
        <f>11.48+104.23+146.51</f>
        <v>262.22</v>
      </c>
      <c r="N26" s="10">
        <f>11.79+126.39+358.42</f>
        <v>496.6</v>
      </c>
      <c r="O26" s="10">
        <f>174.15+13.83+103.51</f>
        <v>291.49</v>
      </c>
      <c r="P26" s="10">
        <f>15.13+91.09+162.63</f>
        <v>268.85</v>
      </c>
      <c r="Q26" s="10">
        <f>16.4+84.05+193.84</f>
        <v>294.28999999999996</v>
      </c>
      <c r="R26" s="10">
        <f>166.41+13.19+106.6</f>
        <v>286.2</v>
      </c>
      <c r="S26" s="10">
        <f>16.94+120.47+175.74</f>
        <v>313.15</v>
      </c>
      <c r="T26" s="10">
        <f>15.54+140.32+277.28</f>
        <v>433.14</v>
      </c>
      <c r="U26" s="19">
        <f>16.01+141.38+117.64</f>
        <v>275.03</v>
      </c>
      <c r="V26" s="58">
        <f t="shared" si="5"/>
        <v>3640.42</v>
      </c>
      <c r="W26" s="87">
        <f t="shared" si="4"/>
        <v>23527.5</v>
      </c>
    </row>
    <row r="27" spans="1:23" ht="15.75" customHeight="1" thickBot="1">
      <c r="A27" s="45" t="s">
        <v>57</v>
      </c>
      <c r="B27" s="39" t="s">
        <v>11</v>
      </c>
      <c r="C27" s="52">
        <v>13618.19</v>
      </c>
      <c r="D27" s="69">
        <v>26228.88</v>
      </c>
      <c r="E27" s="52">
        <v>33239.96</v>
      </c>
      <c r="F27" s="52">
        <v>36641.94</v>
      </c>
      <c r="G27" s="52">
        <v>36547.87</v>
      </c>
      <c r="H27" s="52">
        <v>32998.24</v>
      </c>
      <c r="I27" s="52">
        <v>28876.72</v>
      </c>
      <c r="J27" s="9">
        <f>6740.97-3451.71</f>
        <v>3289.26</v>
      </c>
      <c r="K27" s="10">
        <f>6180.53-3428.13</f>
        <v>2752.3999999999996</v>
      </c>
      <c r="L27" s="10">
        <f>5599.83-3445.61</f>
        <v>2154.22</v>
      </c>
      <c r="M27" s="10">
        <f>6666.08-3479.14</f>
        <v>3186.94</v>
      </c>
      <c r="N27" s="10">
        <f>6079.54-3874.26</f>
        <v>2205.2799999999997</v>
      </c>
      <c r="O27" s="10">
        <f>7308.17-4085.11</f>
        <v>3223.06</v>
      </c>
      <c r="P27" s="10">
        <f>6066.22-3478.41</f>
        <v>2587.8100000000004</v>
      </c>
      <c r="Q27" s="10">
        <f>8532.27-5252.59</f>
        <v>3279.6800000000003</v>
      </c>
      <c r="R27" s="10">
        <f>9018.65-6766.21</f>
        <v>2252.4399999999996</v>
      </c>
      <c r="S27" s="10">
        <f>5754.81-3563.77</f>
        <v>2191.0400000000004</v>
      </c>
      <c r="T27" s="10">
        <f>6856.15-3665.71</f>
        <v>3190.4399999999996</v>
      </c>
      <c r="U27" s="19">
        <f>6652.55-3548.27</f>
        <v>3104.28</v>
      </c>
      <c r="V27" s="58">
        <f t="shared" si="5"/>
        <v>33416.85</v>
      </c>
      <c r="W27" s="88">
        <f t="shared" si="4"/>
        <v>241568.65</v>
      </c>
    </row>
    <row r="28" spans="1:23" ht="13.5" customHeight="1" thickBot="1">
      <c r="A28" s="45" t="s">
        <v>58</v>
      </c>
      <c r="B28" s="40" t="s">
        <v>4</v>
      </c>
      <c r="C28" s="53">
        <v>1673.18</v>
      </c>
      <c r="D28" s="70">
        <v>4212.13</v>
      </c>
      <c r="E28" s="53">
        <v>9974.78</v>
      </c>
      <c r="F28" s="53">
        <v>11084.68</v>
      </c>
      <c r="G28" s="53">
        <v>12012.26</v>
      </c>
      <c r="H28" s="53">
        <v>13002.24</v>
      </c>
      <c r="I28" s="53">
        <v>14381.42</v>
      </c>
      <c r="J28" s="11">
        <f>935.53+193.09</f>
        <v>1128.62</v>
      </c>
      <c r="K28" s="12">
        <f>946.87+18.3+191.9</f>
        <v>1157.07</v>
      </c>
      <c r="L28" s="12">
        <f>865.49+17.08+179.14</f>
        <v>1061.71</v>
      </c>
      <c r="M28" s="12">
        <f>902.51+17.74+186.07</f>
        <v>1106.32</v>
      </c>
      <c r="N28" s="12">
        <f>1009.69+20.07+210.48</f>
        <v>1240.24</v>
      </c>
      <c r="O28" s="12">
        <f>1223.44+29.59+249</f>
        <v>1502.03</v>
      </c>
      <c r="P28" s="12">
        <f>1029.05+15.69+210.48</f>
        <v>1255.22</v>
      </c>
      <c r="Q28" s="12">
        <f>950.78+14.48+191.9</f>
        <v>1157.16</v>
      </c>
      <c r="R28" s="12">
        <f>985.82+14.48+191.9</f>
        <v>1192.2</v>
      </c>
      <c r="S28" s="12">
        <f>980.85+14.48+191.9</f>
        <v>1187.23</v>
      </c>
      <c r="T28" s="12">
        <f>970.91+14.48+191.9</f>
        <v>1177.29</v>
      </c>
      <c r="U28" s="21">
        <f>1008.82+14.83+195.79</f>
        <v>1219.44</v>
      </c>
      <c r="V28" s="58">
        <f t="shared" si="5"/>
        <v>14384.53</v>
      </c>
      <c r="W28" s="88">
        <f t="shared" si="4"/>
        <v>80725.22000000002</v>
      </c>
    </row>
    <row r="29" spans="1:23" ht="13.5" customHeight="1" thickBot="1">
      <c r="A29" s="45"/>
      <c r="B29" s="48" t="s">
        <v>62</v>
      </c>
      <c r="C29" s="64"/>
      <c r="D29" s="71"/>
      <c r="E29" s="64"/>
      <c r="F29" s="64"/>
      <c r="G29" s="77">
        <f>G8*5%</f>
        <v>3254.934</v>
      </c>
      <c r="H29" s="77">
        <f>H8*5%</f>
        <v>3254.934</v>
      </c>
      <c r="I29" s="90">
        <f>I8*5%</f>
        <v>3254.9315</v>
      </c>
      <c r="J29" s="79">
        <f>J8*5%</f>
        <v>271.244</v>
      </c>
      <c r="K29" s="77">
        <f aca="true" t="shared" si="6" ref="K29:U29">K8*5%</f>
        <v>271.244</v>
      </c>
      <c r="L29" s="79">
        <f t="shared" si="6"/>
        <v>271.244</v>
      </c>
      <c r="M29" s="77">
        <f t="shared" si="6"/>
        <v>271.244</v>
      </c>
      <c r="N29" s="79">
        <f t="shared" si="6"/>
        <v>271.244</v>
      </c>
      <c r="O29" s="77">
        <f t="shared" si="6"/>
        <v>271.244</v>
      </c>
      <c r="P29" s="79">
        <f t="shared" si="6"/>
        <v>271.244</v>
      </c>
      <c r="Q29" s="77">
        <f t="shared" si="6"/>
        <v>271.244</v>
      </c>
      <c r="R29" s="79">
        <f t="shared" si="6"/>
        <v>271.244</v>
      </c>
      <c r="S29" s="77">
        <f t="shared" si="6"/>
        <v>271.244</v>
      </c>
      <c r="T29" s="76">
        <f t="shared" si="6"/>
        <v>271.1195</v>
      </c>
      <c r="U29" s="76">
        <f t="shared" si="6"/>
        <v>271.1195</v>
      </c>
      <c r="V29" s="77">
        <f t="shared" si="5"/>
        <v>3254.679000000001</v>
      </c>
      <c r="W29" s="89"/>
    </row>
    <row r="30" spans="1:23" ht="14.25" customHeight="1" thickBot="1">
      <c r="A30" s="94" t="s">
        <v>43</v>
      </c>
      <c r="B30" s="63" t="s">
        <v>52</v>
      </c>
      <c r="C30" s="64"/>
      <c r="D30" s="71"/>
      <c r="E30" s="64"/>
      <c r="F30" s="64"/>
      <c r="G30" s="64"/>
      <c r="H30" s="64"/>
      <c r="I30" s="64"/>
      <c r="J30" s="80">
        <f>SUM(J8+J9-J12)-J29</f>
        <v>-1070.034</v>
      </c>
      <c r="K30" s="77">
        <f aca="true" t="shared" si="7" ref="K30:U30">SUM(K8+K9-K12)-K29</f>
        <v>-509.5939999999986</v>
      </c>
      <c r="L30" s="77">
        <f t="shared" si="7"/>
        <v>71.10600000000125</v>
      </c>
      <c r="M30" s="80">
        <f t="shared" si="7"/>
        <v>-995.1439999999997</v>
      </c>
      <c r="N30" s="77">
        <f t="shared" si="7"/>
        <v>-408.6039999999988</v>
      </c>
      <c r="O30" s="80">
        <f t="shared" si="7"/>
        <v>-1761.063999999999</v>
      </c>
      <c r="P30" s="77">
        <f t="shared" si="7"/>
        <v>-503.2140000000003</v>
      </c>
      <c r="Q30" s="80">
        <f t="shared" si="7"/>
        <v>-2969.2640000000006</v>
      </c>
      <c r="R30" s="77">
        <f t="shared" si="7"/>
        <v>-3455.643999999998</v>
      </c>
      <c r="S30" s="80">
        <f t="shared" si="7"/>
        <v>-191.80399999999952</v>
      </c>
      <c r="T30" s="77">
        <f t="shared" si="7"/>
        <v>-1295.529499999998</v>
      </c>
      <c r="U30" s="80">
        <f t="shared" si="7"/>
        <v>-1091.9295000000004</v>
      </c>
      <c r="V30" s="77">
        <f t="shared" si="5"/>
        <v>-14180.718999999994</v>
      </c>
      <c r="W30" s="89"/>
    </row>
    <row r="31" spans="1:23" ht="18.75" customHeight="1" thickBot="1">
      <c r="A31" s="96" t="s">
        <v>44</v>
      </c>
      <c r="B31" s="41" t="s">
        <v>25</v>
      </c>
      <c r="C31" s="48">
        <v>6477.18</v>
      </c>
      <c r="D31" s="20">
        <f>SUM(D8-D12)</f>
        <v>-21406.480000000003</v>
      </c>
      <c r="E31" s="58">
        <f>SUM(E8-E12)</f>
        <v>-7561.060000000005</v>
      </c>
      <c r="F31" s="58">
        <f>SUM(F8-F12)</f>
        <v>-14063.979999999996</v>
      </c>
      <c r="G31" s="77">
        <f>SUM(G8-G12)-G29</f>
        <v>-15641.394</v>
      </c>
      <c r="H31" s="77">
        <f>SUM(H8-H12)-H29</f>
        <v>-11986.623999999996</v>
      </c>
      <c r="I31" s="77">
        <f>SUM(I8-I12)-I29</f>
        <v>-10585.491500000006</v>
      </c>
      <c r="J31" s="80">
        <f>SUM(J8+J9-J12)-J29</f>
        <v>-1070.034</v>
      </c>
      <c r="K31" s="77">
        <f>SUM(K30+J31)</f>
        <v>-1579.6279999999988</v>
      </c>
      <c r="L31" s="80">
        <f aca="true" t="shared" si="8" ref="L31:U31">SUM(L30+K31)</f>
        <v>-1508.5219999999977</v>
      </c>
      <c r="M31" s="77">
        <f t="shared" si="8"/>
        <v>-2503.6659999999974</v>
      </c>
      <c r="N31" s="80">
        <f t="shared" si="8"/>
        <v>-2912.2699999999963</v>
      </c>
      <c r="O31" s="77">
        <f t="shared" si="8"/>
        <v>-4673.333999999995</v>
      </c>
      <c r="P31" s="80">
        <f t="shared" si="8"/>
        <v>-5176.547999999995</v>
      </c>
      <c r="Q31" s="77">
        <f t="shared" si="8"/>
        <v>-8145.811999999996</v>
      </c>
      <c r="R31" s="80">
        <f t="shared" si="8"/>
        <v>-11601.455999999995</v>
      </c>
      <c r="S31" s="77">
        <f t="shared" si="8"/>
        <v>-11793.259999999995</v>
      </c>
      <c r="T31" s="77">
        <f t="shared" si="8"/>
        <v>-13088.789499999993</v>
      </c>
      <c r="U31" s="78">
        <f t="shared" si="8"/>
        <v>-14180.718999999994</v>
      </c>
      <c r="V31" s="58"/>
      <c r="W31" s="58"/>
    </row>
    <row r="32" spans="1:23" ht="22.5" customHeight="1" hidden="1" thickBot="1">
      <c r="A32" s="95" t="s">
        <v>45</v>
      </c>
      <c r="B32" s="42" t="s">
        <v>26</v>
      </c>
      <c r="C32" s="48">
        <v>6477.18</v>
      </c>
      <c r="D32" s="20">
        <f>SUM(D8-D12,C32)</f>
        <v>-14929.300000000003</v>
      </c>
      <c r="E32" s="58">
        <f>SUM(E8-E12,D32)</f>
        <v>-22490.360000000008</v>
      </c>
      <c r="F32" s="58">
        <f>SUM(F8-F12,E32)</f>
        <v>-36554.340000000004</v>
      </c>
      <c r="G32" s="77">
        <f>SUM(G31+F32)</f>
        <v>-52195.734000000004</v>
      </c>
      <c r="H32" s="77">
        <f>SUM(H31+G32)</f>
        <v>-64182.358</v>
      </c>
      <c r="I32" s="77">
        <f>SUM(I31+H32)</f>
        <v>-74767.84950000001</v>
      </c>
      <c r="J32" s="81">
        <f>SUM(J31+I32)</f>
        <v>-75837.88350000001</v>
      </c>
      <c r="K32" s="77">
        <f aca="true" t="shared" si="9" ref="K32:T32">SUM(K30+J32)</f>
        <v>-76347.47750000001</v>
      </c>
      <c r="L32" s="80">
        <f>SUM(L30+K32)</f>
        <v>-76276.37150000001</v>
      </c>
      <c r="M32" s="77">
        <f t="shared" si="9"/>
        <v>-77271.51550000001</v>
      </c>
      <c r="N32" s="80">
        <f t="shared" si="9"/>
        <v>-77680.1195</v>
      </c>
      <c r="O32" s="77">
        <f t="shared" si="9"/>
        <v>-79441.1835</v>
      </c>
      <c r="P32" s="80">
        <f t="shared" si="9"/>
        <v>-79944.3975</v>
      </c>
      <c r="Q32" s="77">
        <f t="shared" si="9"/>
        <v>-82913.6615</v>
      </c>
      <c r="R32" s="80">
        <f t="shared" si="9"/>
        <v>-86369.3055</v>
      </c>
      <c r="S32" s="77">
        <f t="shared" si="9"/>
        <v>-86561.1095</v>
      </c>
      <c r="T32" s="81">
        <f t="shared" si="9"/>
        <v>-87856.63900000001</v>
      </c>
      <c r="U32" s="77">
        <f>SUM(U30+T32)+0.05</f>
        <v>-88948.5185</v>
      </c>
      <c r="V32" s="58"/>
      <c r="W32" s="31"/>
    </row>
    <row r="33" spans="1:23" ht="9.75" customHeight="1" hidden="1" thickBot="1">
      <c r="A33" s="45" t="s">
        <v>45</v>
      </c>
      <c r="B33" s="48" t="s">
        <v>9</v>
      </c>
      <c r="C33" s="48"/>
      <c r="D33" s="48"/>
      <c r="E33" s="65"/>
      <c r="F33" s="65"/>
      <c r="G33" s="65"/>
      <c r="H33" s="65"/>
      <c r="I33" s="65"/>
      <c r="J33" s="13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22"/>
      <c r="V33" s="58"/>
      <c r="W33" s="26"/>
    </row>
    <row r="34" spans="1:23" ht="15" customHeight="1" hidden="1" thickBot="1">
      <c r="A34" s="45" t="s">
        <v>46</v>
      </c>
      <c r="B34" s="42" t="s">
        <v>27</v>
      </c>
      <c r="C34" s="49"/>
      <c r="D34" s="49"/>
      <c r="E34" s="66"/>
      <c r="F34" s="66"/>
      <c r="G34" s="66"/>
      <c r="H34" s="66"/>
      <c r="I34" s="66"/>
      <c r="J34" s="15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23"/>
      <c r="V34" s="61"/>
      <c r="W34" s="25"/>
    </row>
    <row r="35" spans="1:23" ht="24" customHeight="1" hidden="1" thickBot="1">
      <c r="A35" s="46" t="s">
        <v>47</v>
      </c>
      <c r="B35" s="43" t="s">
        <v>55</v>
      </c>
      <c r="C35" s="50"/>
      <c r="D35" s="50"/>
      <c r="E35" s="67"/>
      <c r="F35" s="67"/>
      <c r="G35" s="67"/>
      <c r="H35" s="67"/>
      <c r="I35" s="67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9">
        <f>SUM(U31-U33)</f>
        <v>-14180.718999999994</v>
      </c>
      <c r="V35" s="62">
        <v>-2426.95</v>
      </c>
      <c r="W35" s="30"/>
    </row>
    <row r="36" spans="1:23" ht="36" customHeight="1" hidden="1" thickBot="1">
      <c r="A36" s="46" t="s">
        <v>50</v>
      </c>
      <c r="B36" s="43" t="s">
        <v>56</v>
      </c>
      <c r="C36" s="50"/>
      <c r="D36" s="50"/>
      <c r="E36" s="67"/>
      <c r="F36" s="67"/>
      <c r="G36" s="67"/>
      <c r="H36" s="67"/>
      <c r="I36" s="67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9">
        <f>SUM(U32-U33)</f>
        <v>-88948.5185</v>
      </c>
      <c r="V36" s="62"/>
      <c r="W36" s="30">
        <v>-22204.15</v>
      </c>
    </row>
    <row r="37" ht="12.75" hidden="1"/>
    <row r="38" ht="12.75" hidden="1"/>
    <row r="39" ht="12.75" hidden="1"/>
    <row r="40" ht="12.75" hidden="1"/>
    <row r="41" ht="12.75">
      <c r="B41" t="s">
        <v>68</v>
      </c>
    </row>
    <row r="45" ht="12.75" customHeight="1"/>
    <row r="46" ht="12.75" customHeight="1"/>
  </sheetData>
  <sheetProtection/>
  <mergeCells count="5">
    <mergeCell ref="B4:W4"/>
    <mergeCell ref="B5:W5"/>
    <mergeCell ref="B3:W3"/>
    <mergeCell ref="B1:L1"/>
    <mergeCell ref="B2:U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2018-02-02T11:03:04Z</cp:lastPrinted>
  <dcterms:created xsi:type="dcterms:W3CDTF">2011-06-16T11:06:26Z</dcterms:created>
  <dcterms:modified xsi:type="dcterms:W3CDTF">2018-02-12T06:27:59Z</dcterms:modified>
  <cp:category/>
  <cp:version/>
  <cp:contentType/>
  <cp:contentStatus/>
</cp:coreProperties>
</file>