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<sst xmlns="http://schemas.openxmlformats.org/spreadsheetml/2006/main" count="90" uniqueCount="89">
  <si>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</si>
  <si>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</si>
  <si>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</si>
  <si>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</si>
  <si>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</si>
  <si>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</si>
  <si>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</si>
  <si>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</si>
  <si>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</si>
  <si>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</si>
  <si>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</si>
  <si>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</si>
  <si>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</si>
  <si>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</si>
  <si>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</si>
  <si>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</si>
  <si>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</si>
  <si>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</si>
  <si>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</si>
  <si>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</si>
  <si>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</si>
  <si>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</si>
  <si>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</si>
  <si>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</si>
  <si>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</si>
  <si>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</si>
  <si>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</si>
  <si>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2</t>
  </si>
  <si>
    <t>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</si>
  <si>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</si>
  <si>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</si>
  <si>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</si>
  <si>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</si>
  <si>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</si>
  <si>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</si>
  <si>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</si>
  <si>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</si>
  <si>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</si>
  <si>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</si>
  <si>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</si>
  <si>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5</t>
  </si>
  <si>
    <t>6</t>
  </si>
  <si>
    <t>7</t>
  </si>
  <si>
    <t>8</t>
  </si>
  <si>
    <t>9</t>
  </si>
  <si>
    <t>10</t>
  </si>
  <si>
    <t>Итого за 2011 г</t>
  </si>
  <si>
    <t>11</t>
  </si>
  <si>
    <t>Благоустройство  территории</t>
  </si>
  <si>
    <t>Проверка дымовых каналов</t>
  </si>
  <si>
    <t>12</t>
  </si>
  <si>
    <t>октябрь</t>
  </si>
  <si>
    <t>Результат за месяц</t>
  </si>
  <si>
    <t xml:space="preserve">Фин.результат по дому с начала года </t>
  </si>
  <si>
    <t>Фин.результат по дому  с начала деятельности</t>
  </si>
  <si>
    <t>Итого за 2012 г</t>
  </si>
  <si>
    <t>по жилому дому г. Унеча ул. Горького д.12</t>
  </si>
  <si>
    <t>за 2009 г</t>
  </si>
  <si>
    <t>за 2010 г</t>
  </si>
  <si>
    <t>6325,01</t>
  </si>
  <si>
    <t>25485,55</t>
  </si>
  <si>
    <t>30460,42</t>
  </si>
  <si>
    <t>4.12</t>
  </si>
  <si>
    <t>4.13</t>
  </si>
  <si>
    <t>4.14</t>
  </si>
  <si>
    <t xml:space="preserve">Материалы </t>
  </si>
  <si>
    <t>Итого за 2013 г</t>
  </si>
  <si>
    <t>%  оплаты</t>
  </si>
  <si>
    <t>33368,58</t>
  </si>
  <si>
    <t>Дом по ул.Горького д.12 вступил в ООО "Наш дом" с октября 2009 года                                                     тариф 10,35 руб</t>
  </si>
  <si>
    <t>41027,12</t>
  </si>
  <si>
    <t>Итого за 2014 г</t>
  </si>
  <si>
    <t>рентабельность 5%</t>
  </si>
  <si>
    <t>44094,5</t>
  </si>
  <si>
    <t>Итого за 2015 г</t>
  </si>
  <si>
    <t>Транспортные(ГСМ,зап.части,амортизация,страхование ит.д.)</t>
  </si>
  <si>
    <t xml:space="preserve">Расходы на управление,аренда, связь </t>
  </si>
  <si>
    <t>Услуги сторонних орган.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</si>
  <si>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</si>
  <si>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</si>
  <si>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</si>
  <si>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39632,48</t>
  </si>
  <si>
    <t>37216,28</t>
  </si>
  <si>
    <t>Итого за 2017 г</t>
  </si>
  <si>
    <t>Всего за 2009-2017</t>
  </si>
  <si>
    <t>Начислено СОИД</t>
  </si>
  <si>
    <t>Электроэнергия  СОИД</t>
  </si>
  <si>
    <t>Холодная вода СОИД</t>
  </si>
  <si>
    <t>Канализация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</si>
</sst>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4" fillId="0" borderId="29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0" fontId="24" fillId="0" borderId="27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0" fontId="21" fillId="0" borderId="37" xfId="0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40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1" fontId="20" fillId="0" borderId="33" xfId="0" applyNumberFormat="1" applyFon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0" fontId="21" fillId="0" borderId="39" xfId="0" applyFont="1" applyBorder="1" applyAlignment="1">
      <alignment wrapText="1"/>
    </xf>
    <xf numFmtId="0" fontId="21" fillId="0" borderId="4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6" fillId="0" borderId="33" xfId="0" applyFont="1" applyBorder="1" applyAlignment="1">
      <alignment wrapText="1"/>
    </xf>
    <xf numFmtId="49" fontId="21" fillId="0" borderId="40" xfId="0" applyNumberFormat="1" applyFont="1" applyBorder="1" applyAlignment="1">
      <alignment horizontal="right" wrapText="1"/>
    </xf>
    <xf numFmtId="0" fontId="21" fillId="0" borderId="33" xfId="0" applyFont="1" applyBorder="1" applyAlignment="1">
      <alignment horizontal="right" wrapText="1"/>
    </xf>
    <xf numFmtId="0" fontId="21" fillId="0" borderId="34" xfId="0" applyFont="1" applyBorder="1" applyAlignment="1">
      <alignment horizontal="right" wrapText="1"/>
    </xf>
    <xf numFmtId="0" fontId="23" fillId="0" borderId="35" xfId="0" applyFont="1" applyBorder="1" applyAlignment="1">
      <alignment horizontal="left" vertical="center" wrapText="1"/>
    </xf>
    <xf numFmtId="0" fontId="26" fillId="0" borderId="28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1" fillId="0" borderId="29" xfId="0" applyFont="1" applyBorder="1" applyAlignment="1">
      <alignment horizontal="right" wrapText="1"/>
    </xf>
    <xf numFmtId="0" fontId="20" fillId="0" borderId="27" xfId="0" applyFont="1" applyBorder="1" applyAlignment="1">
      <alignment/>
    </xf>
    <xf numFmtId="0" fontId="21" fillId="0" borderId="0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43" xfId="0" applyFont="1" applyBorder="1" applyAlignment="1">
      <alignment wrapText="1"/>
    </xf>
    <xf numFmtId="49" fontId="21" fillId="0" borderId="42" xfId="0" applyNumberFormat="1" applyFont="1" applyBorder="1" applyAlignment="1">
      <alignment horizontal="right" wrapText="1"/>
    </xf>
    <xf numFmtId="0" fontId="21" fillId="0" borderId="43" xfId="0" applyFont="1" applyBorder="1" applyAlignment="1">
      <alignment horizontal="right" wrapText="1"/>
    </xf>
    <xf numFmtId="0" fontId="21" fillId="0" borderId="44" xfId="0" applyFont="1" applyBorder="1" applyAlignment="1">
      <alignment horizontal="right" wrapText="1"/>
    </xf>
    <xf numFmtId="0" fontId="21" fillId="0" borderId="45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1" fontId="21" fillId="0" borderId="33" xfId="0" applyNumberFormat="1" applyFont="1" applyBorder="1" applyAlignment="1">
      <alignment horizontal="center"/>
    </xf>
    <xf numFmtId="2" fontId="21" fillId="0" borderId="18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35" xfId="0" applyFont="1" applyBorder="1" applyAlignment="1">
      <alignment horizontal="right" wrapText="1"/>
    </xf>
    <xf numFmtId="0" fontId="21" fillId="0" borderId="46" xfId="0" applyFont="1" applyBorder="1" applyAlignment="1">
      <alignment horizontal="right" wrapText="1"/>
    </xf>
    <xf numFmtId="0" fontId="27" fillId="0" borderId="32" xfId="0" applyFont="1" applyBorder="1" applyAlignment="1">
      <alignment/>
    </xf>
    <xf numFmtId="1" fontId="27" fillId="0" borderId="33" xfId="0" applyNumberFormat="1" applyFont="1" applyBorder="1" applyAlignment="1">
      <alignment horizontal="center"/>
    </xf>
    <xf numFmtId="0" fontId="27" fillId="0" borderId="47" xfId="0" applyFont="1" applyBorder="1" applyAlignment="1">
      <alignment/>
    </xf>
    <xf numFmtId="0" fontId="19" fillId="0" borderId="46" xfId="0" applyFont="1" applyBorder="1" applyAlignment="1">
      <alignment horizontal="center" vertical="center" wrapText="1"/>
    </xf>
    <xf numFmtId="2" fontId="21" fillId="0" borderId="26" xfId="0" applyNumberFormat="1" applyFont="1" applyBorder="1" applyAlignment="1">
      <alignment/>
    </xf>
    <xf numFmtId="2" fontId="21" fillId="0" borderId="23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8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PageLayoutView="0" workbookViewId="0" topLeftCell="A8">
      <selection activeCell="M16" sqref="M16"/>
    </sheetView>
  </sheetViews>
  <sheetFormatPr defaultColWidth="9.00390625" defaultRowHeight="12.75"/>
  <cols>
    <col min="1" max="1" width="4.625" style="27" customWidth="1"/>
    <col min="2" max="2" width="22.375" style="0" customWidth="1"/>
    <col min="3" max="3" width="5.25390625" style="0" hidden="1" customWidth="1"/>
    <col min="4" max="4" width="6.00390625" style="0" hidden="1" customWidth="1"/>
    <col min="5" max="5" width="6.75390625" style="0" hidden="1" customWidth="1"/>
    <col min="6" max="6" width="9.125" style="0" hidden="1" customWidth="1"/>
    <col min="7" max="7" width="8.375" style="0" hidden="1" customWidth="1"/>
    <col min="8" max="8" width="9.125" style="0" hidden="1" customWidth="1"/>
    <col min="9" max="9" width="9.375" style="0" hidden="1" customWidth="1"/>
    <col min="10" max="10" width="9.875" style="0" hidden="1" customWidth="1"/>
    <col min="11" max="11" width="7.75390625" style="0" customWidth="1"/>
    <col min="12" max="13" width="8.375" style="0" customWidth="1"/>
    <col min="14" max="14" width="8.25390625" style="0" customWidth="1"/>
    <col min="15" max="15" width="7.75390625" style="0" customWidth="1"/>
    <col min="16" max="16" width="8.125" style="0" customWidth="1"/>
    <col min="17" max="17" width="9.00390625" style="0" customWidth="1"/>
    <col min="18" max="18" width="8.625" style="0" customWidth="1"/>
    <col min="19" max="19" width="8.125" style="0" customWidth="1"/>
    <col min="20" max="20" width="8.25390625" style="0" customWidth="1"/>
    <col min="21" max="22" width="8.625" style="0" customWidth="1"/>
    <col min="23" max="23" width="10.75390625" style="0" customWidth="1"/>
    <col min="24" max="24" width="9.875" style="0" hidden="1" customWidth="1"/>
  </cols>
  <sheetData>
    <row r="1" spans="2:29" ht="12.75" customHeight="1">
      <c r="B1" s="102" t="s">
        <v>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2:29" ht="12.75" customHeight="1">
      <c r="B2" s="102" t="s">
        <v>69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46"/>
      <c r="X2" s="4"/>
      <c r="Y2" s="4"/>
      <c r="Z2" s="4"/>
      <c r="AA2" s="4"/>
      <c r="AB2" s="4"/>
      <c r="AC2" s="4"/>
    </row>
    <row r="3" spans="2:29" ht="12.75" customHeight="1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3"/>
      <c r="Z3" s="3"/>
      <c r="AA3" s="3"/>
      <c r="AB3" s="3"/>
      <c r="AC3" s="3"/>
    </row>
    <row r="4" spans="2:29" ht="12.75" customHeight="1">
      <c r="B4" s="100" t="s">
        <v>11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2"/>
      <c r="Z4" s="2"/>
      <c r="AA4" s="2"/>
      <c r="AB4" s="2"/>
      <c r="AC4" s="2"/>
    </row>
    <row r="5" spans="2:29" ht="14.25" customHeight="1" thickBot="1">
      <c r="B5" s="100" t="s">
        <v>56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2"/>
      <c r="Z5" s="2"/>
      <c r="AA5" s="2"/>
      <c r="AB5" s="2"/>
      <c r="AC5" s="2"/>
    </row>
    <row r="6" spans="2:29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  <c r="AA6" s="2"/>
      <c r="AB6" s="2"/>
      <c r="AC6" s="2"/>
    </row>
    <row r="7" spans="1:29" ht="33" customHeight="1" thickBot="1">
      <c r="A7" s="39" t="s">
        <v>25</v>
      </c>
      <c r="B7" s="28" t="s">
        <v>8</v>
      </c>
      <c r="C7" s="69" t="s">
        <v>57</v>
      </c>
      <c r="D7" s="28" t="s">
        <v>58</v>
      </c>
      <c r="E7" s="54" t="s">
        <v>46</v>
      </c>
      <c r="F7" s="54" t="s">
        <v>55</v>
      </c>
      <c r="G7" s="54" t="s">
        <v>66</v>
      </c>
      <c r="H7" s="95" t="s">
        <v>71</v>
      </c>
      <c r="I7" s="54" t="s">
        <v>74</v>
      </c>
      <c r="J7" s="54" t="s">
        <v>80</v>
      </c>
      <c r="K7" s="6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51</v>
      </c>
      <c r="U7" s="5" t="s">
        <v>22</v>
      </c>
      <c r="V7" s="17" t="s">
        <v>21</v>
      </c>
      <c r="W7" s="54" t="s">
        <v>83</v>
      </c>
      <c r="X7" s="49" t="s">
        <v>84</v>
      </c>
      <c r="Y7" s="1"/>
      <c r="Z7" s="1"/>
      <c r="AA7" s="1"/>
      <c r="AB7" s="1"/>
      <c r="AC7" s="1"/>
    </row>
    <row r="8" spans="1:24" ht="13.5" thickBot="1">
      <c r="A8" s="40" t="s">
        <v>26</v>
      </c>
      <c r="B8" s="29" t="s">
        <v>1</v>
      </c>
      <c r="C8" s="64">
        <v>28405.92</v>
      </c>
      <c r="D8" s="70">
        <v>132189.28</v>
      </c>
      <c r="E8" s="78">
        <v>155295.26</v>
      </c>
      <c r="F8" s="84">
        <v>158182.08</v>
      </c>
      <c r="G8" s="84">
        <v>158158.37</v>
      </c>
      <c r="H8" s="84">
        <v>158115.96</v>
      </c>
      <c r="I8" s="84">
        <v>158107.68</v>
      </c>
      <c r="J8" s="84">
        <v>158107.68</v>
      </c>
      <c r="K8" s="7">
        <v>13175.64</v>
      </c>
      <c r="L8" s="8">
        <v>13175.64</v>
      </c>
      <c r="M8" s="8">
        <v>13175.64</v>
      </c>
      <c r="N8" s="8">
        <v>13175.64</v>
      </c>
      <c r="O8" s="8">
        <v>13175.64</v>
      </c>
      <c r="P8" s="8">
        <v>13175.64</v>
      </c>
      <c r="Q8" s="8">
        <v>13175.64</v>
      </c>
      <c r="R8" s="8">
        <v>13175.64</v>
      </c>
      <c r="S8" s="8">
        <v>13175.64</v>
      </c>
      <c r="T8" s="8">
        <v>13175.64</v>
      </c>
      <c r="U8" s="8">
        <v>13175.64</v>
      </c>
      <c r="V8" s="18">
        <v>13175.64</v>
      </c>
      <c r="W8" s="55">
        <f>SUM(K8:V8)</f>
        <v>158107.68</v>
      </c>
      <c r="X8" s="92">
        <f>SUM(C8:V8)</f>
        <v>1264669.9099999988</v>
      </c>
    </row>
    <row r="9" spans="1:24" ht="13.5" thickBot="1">
      <c r="A9" s="40"/>
      <c r="B9" s="29" t="s">
        <v>85</v>
      </c>
      <c r="C9" s="64"/>
      <c r="D9" s="70"/>
      <c r="E9" s="78"/>
      <c r="F9" s="64"/>
      <c r="G9" s="64"/>
      <c r="H9" s="64"/>
      <c r="I9" s="64"/>
      <c r="J9" s="64">
        <v>0</v>
      </c>
      <c r="K9" s="7">
        <f>575.53+29.47</f>
        <v>605</v>
      </c>
      <c r="L9" s="8">
        <f>575.53+29.47</f>
        <v>605</v>
      </c>
      <c r="M9" s="8">
        <f>575.53+29.47</f>
        <v>605</v>
      </c>
      <c r="N9" s="8">
        <f>575.53+29.47</f>
        <v>605</v>
      </c>
      <c r="O9" s="8">
        <f>575.53+29.47</f>
        <v>605</v>
      </c>
      <c r="P9" s="8">
        <f>829.38+57.09+49.68</f>
        <v>936.15</v>
      </c>
      <c r="Q9" s="8">
        <f aca="true" t="shared" si="0" ref="Q9:V9">869.95+57.66+50.91</f>
        <v>978.52</v>
      </c>
      <c r="R9" s="8">
        <f t="shared" si="0"/>
        <v>978.52</v>
      </c>
      <c r="S9" s="8">
        <f t="shared" si="0"/>
        <v>978.52</v>
      </c>
      <c r="T9" s="8">
        <f t="shared" si="0"/>
        <v>978.52</v>
      </c>
      <c r="U9" s="8">
        <f t="shared" si="0"/>
        <v>978.52</v>
      </c>
      <c r="V9" s="18">
        <f t="shared" si="0"/>
        <v>978.52</v>
      </c>
      <c r="W9" s="55">
        <f>SUM(K9:V9)</f>
        <v>9832.270000000002</v>
      </c>
      <c r="X9" s="92">
        <f>SUM(C9:V9)</f>
        <v>9832.270000000002</v>
      </c>
    </row>
    <row r="10" spans="1:24" ht="12.75">
      <c r="A10" s="40" t="s">
        <v>27</v>
      </c>
      <c r="B10" s="30" t="s">
        <v>2</v>
      </c>
      <c r="C10" s="65">
        <v>21010.89</v>
      </c>
      <c r="D10" s="71">
        <v>122617.09</v>
      </c>
      <c r="E10" s="79">
        <v>148543.52</v>
      </c>
      <c r="F10" s="65">
        <v>153748.29</v>
      </c>
      <c r="G10" s="65">
        <v>156230.62</v>
      </c>
      <c r="H10" s="65">
        <v>154714.35</v>
      </c>
      <c r="I10" s="65">
        <v>163396.15</v>
      </c>
      <c r="J10" s="65">
        <v>171906.44</v>
      </c>
      <c r="K10" s="9">
        <v>13114.58</v>
      </c>
      <c r="L10" s="10">
        <v>14728.07</v>
      </c>
      <c r="M10" s="10">
        <v>12803.11</v>
      </c>
      <c r="N10" s="10">
        <v>14360.9</v>
      </c>
      <c r="O10" s="10">
        <v>12803.11</v>
      </c>
      <c r="P10" s="10">
        <v>12497.07</v>
      </c>
      <c r="Q10" s="10">
        <v>15292.61</v>
      </c>
      <c r="R10" s="10">
        <v>13145.7</v>
      </c>
      <c r="S10" s="10">
        <v>13083.81</v>
      </c>
      <c r="T10" s="10">
        <v>15132.24</v>
      </c>
      <c r="U10" s="10">
        <v>13329.15</v>
      </c>
      <c r="V10" s="19">
        <v>11714.71</v>
      </c>
      <c r="W10" s="55">
        <f>SUM(K10:V10)</f>
        <v>162005.05999999997</v>
      </c>
      <c r="X10" s="92">
        <f>SUM(C10:V10)</f>
        <v>1254172.4100000004</v>
      </c>
    </row>
    <row r="11" spans="1:24" ht="15" customHeight="1" thickBot="1">
      <c r="A11" s="40" t="s">
        <v>28</v>
      </c>
      <c r="B11" s="31" t="s">
        <v>67</v>
      </c>
      <c r="C11" s="24">
        <f aca="true" t="shared" si="1" ref="C11:K11">SUM(C10/C8*100)</f>
        <v>73.96658865475929</v>
      </c>
      <c r="D11" s="24">
        <f t="shared" si="1"/>
        <v>92.75872445935101</v>
      </c>
      <c r="E11" s="48">
        <f t="shared" si="1"/>
        <v>95.65232061815665</v>
      </c>
      <c r="F11" s="85">
        <f t="shared" si="1"/>
        <v>97.19703394973692</v>
      </c>
      <c r="G11" s="85">
        <f t="shared" si="1"/>
        <v>98.78112679082366</v>
      </c>
      <c r="H11" s="85">
        <f t="shared" si="1"/>
        <v>97.84866119776903</v>
      </c>
      <c r="I11" s="85">
        <f>SUM(I10/I8*100)</f>
        <v>103.34485333033791</v>
      </c>
      <c r="J11" s="85">
        <f>SUM(J10/J8*100)</f>
        <v>108.72744448593517</v>
      </c>
      <c r="K11" s="24">
        <f t="shared" si="1"/>
        <v>99.53656900158171</v>
      </c>
      <c r="L11" s="24">
        <f aca="true" t="shared" si="2" ref="L11:V11">SUM(L10/L8*100)</f>
        <v>111.78257754462022</v>
      </c>
      <c r="M11" s="24">
        <f t="shared" si="2"/>
        <v>97.17258516474342</v>
      </c>
      <c r="N11" s="24">
        <f t="shared" si="2"/>
        <v>108.99584384515666</v>
      </c>
      <c r="O11" s="24">
        <f t="shared" si="2"/>
        <v>97.17258516474342</v>
      </c>
      <c r="P11" s="24">
        <f t="shared" si="2"/>
        <v>94.849813747188</v>
      </c>
      <c r="Q11" s="24">
        <f t="shared" si="2"/>
        <v>116.06730299249222</v>
      </c>
      <c r="R11" s="24">
        <f t="shared" si="2"/>
        <v>99.77276246163376</v>
      </c>
      <c r="S11" s="24">
        <f t="shared" si="2"/>
        <v>99.30303195897883</v>
      </c>
      <c r="T11" s="24">
        <f t="shared" si="2"/>
        <v>114.85013251728189</v>
      </c>
      <c r="U11" s="24">
        <f t="shared" si="2"/>
        <v>101.16510469320656</v>
      </c>
      <c r="V11" s="48">
        <f t="shared" si="2"/>
        <v>88.91188587423457</v>
      </c>
      <c r="W11" s="60">
        <f>SUM(W10/W8*100)</f>
        <v>102.46501624715509</v>
      </c>
      <c r="X11" s="93">
        <f>SUM(X10/X8*100)</f>
        <v>99.16994150671313</v>
      </c>
    </row>
    <row r="12" spans="1:24" ht="13.5" thickBot="1">
      <c r="A12" s="40" t="s">
        <v>29</v>
      </c>
      <c r="B12" s="32" t="s">
        <v>3</v>
      </c>
      <c r="C12" s="13">
        <v>22035.56</v>
      </c>
      <c r="D12" s="13">
        <v>124884.27</v>
      </c>
      <c r="E12" s="20">
        <v>135310.79</v>
      </c>
      <c r="F12" s="56">
        <v>140475.62</v>
      </c>
      <c r="G12" s="56">
        <v>165582</v>
      </c>
      <c r="H12" s="56">
        <v>181481.44</v>
      </c>
      <c r="I12" s="56">
        <v>166770.45</v>
      </c>
      <c r="J12" s="56">
        <v>174864.09</v>
      </c>
      <c r="K12" s="13">
        <f>SUM(K13:K27)</f>
        <v>13007.010000000002</v>
      </c>
      <c r="L12" s="13">
        <f aca="true" t="shared" si="3" ref="L12:V12">SUM(L13:L27)</f>
        <v>15260.99</v>
      </c>
      <c r="M12" s="13">
        <f t="shared" si="3"/>
        <v>13119.290000000003</v>
      </c>
      <c r="N12" s="13">
        <f t="shared" si="3"/>
        <v>13731.11</v>
      </c>
      <c r="O12" s="13">
        <f t="shared" si="3"/>
        <v>12850.390000000001</v>
      </c>
      <c r="P12" s="13">
        <f t="shared" si="3"/>
        <v>12890.51</v>
      </c>
      <c r="Q12" s="13">
        <f t="shared" si="3"/>
        <v>13844.529999999999</v>
      </c>
      <c r="R12" s="13">
        <f t="shared" si="3"/>
        <v>13854.509999999998</v>
      </c>
      <c r="S12" s="13">
        <f t="shared" si="3"/>
        <v>12883.24</v>
      </c>
      <c r="T12" s="13">
        <f t="shared" si="3"/>
        <v>13493.59</v>
      </c>
      <c r="U12" s="13">
        <f t="shared" si="3"/>
        <v>14033.629999999997</v>
      </c>
      <c r="V12" s="20">
        <f t="shared" si="3"/>
        <v>16257.22</v>
      </c>
      <c r="W12" s="56">
        <f>SUM(K12:V12)</f>
        <v>165226.02000000002</v>
      </c>
      <c r="X12" s="92">
        <f aca="true" t="shared" si="4" ref="X12:X27">SUM(C12:V12)</f>
        <v>1276630.24</v>
      </c>
    </row>
    <row r="13" spans="1:24" ht="13.5" customHeight="1" thickBot="1">
      <c r="A13" s="40" t="s">
        <v>30</v>
      </c>
      <c r="B13" s="33" t="s">
        <v>5</v>
      </c>
      <c r="C13" s="66" t="s">
        <v>59</v>
      </c>
      <c r="D13" s="33" t="s">
        <v>60</v>
      </c>
      <c r="E13" s="80" t="s">
        <v>61</v>
      </c>
      <c r="F13" s="66" t="s">
        <v>68</v>
      </c>
      <c r="G13" s="66" t="s">
        <v>70</v>
      </c>
      <c r="H13" s="80" t="s">
        <v>73</v>
      </c>
      <c r="I13" s="66" t="s">
        <v>81</v>
      </c>
      <c r="J13" s="66" t="s">
        <v>82</v>
      </c>
      <c r="K13" s="7">
        <f>3021+37.39</f>
        <v>3058.39</v>
      </c>
      <c r="L13" s="8">
        <f>3021+175.73</f>
        <v>3196.73</v>
      </c>
      <c r="M13" s="8">
        <f>3021+103.19</f>
        <v>3124.19</v>
      </c>
      <c r="N13" s="8">
        <f>3074+332.28</f>
        <v>3406.2799999999997</v>
      </c>
      <c r="O13" s="8">
        <f>3074+165.86</f>
        <v>3239.86</v>
      </c>
      <c r="P13" s="8">
        <f>3074+101.38</f>
        <v>3175.38</v>
      </c>
      <c r="Q13" s="8">
        <f>3127+162.25</f>
        <v>3289.25</v>
      </c>
      <c r="R13" s="8">
        <f>3127+188.66</f>
        <v>3315.66</v>
      </c>
      <c r="S13" s="8">
        <f>3021+189.04</f>
        <v>3210.04</v>
      </c>
      <c r="T13" s="8">
        <f>2862+187.01</f>
        <v>3049.01</v>
      </c>
      <c r="U13" s="8">
        <f>2915+166.2</f>
        <v>3081.2</v>
      </c>
      <c r="V13" s="18">
        <f>2915+166.51</f>
        <v>3081.51</v>
      </c>
      <c r="W13" s="56">
        <f aca="true" t="shared" si="5" ref="W13:W26">SUM(K13:V13)</f>
        <v>38227.5</v>
      </c>
      <c r="X13" s="92">
        <f t="shared" si="4"/>
        <v>38227.5</v>
      </c>
    </row>
    <row r="14" spans="1:24" ht="11.25" customHeight="1" thickBot="1">
      <c r="A14" s="40" t="s">
        <v>31</v>
      </c>
      <c r="B14" s="34" t="s">
        <v>77</v>
      </c>
      <c r="C14" s="67">
        <v>12523.26</v>
      </c>
      <c r="D14" s="34">
        <v>34992.23</v>
      </c>
      <c r="E14" s="81">
        <v>12948.54</v>
      </c>
      <c r="F14" s="67">
        <f>192.16+630</f>
        <v>822.16</v>
      </c>
      <c r="G14" s="67">
        <v>6942.86</v>
      </c>
      <c r="H14" s="81">
        <f>2057.61+9300</f>
        <v>11357.61</v>
      </c>
      <c r="I14" s="67">
        <v>6626.05</v>
      </c>
      <c r="J14" s="67">
        <v>8749.77</v>
      </c>
      <c r="K14" s="9"/>
      <c r="L14" s="10"/>
      <c r="M14" s="10">
        <v>740.15</v>
      </c>
      <c r="N14" s="10"/>
      <c r="O14" s="10"/>
      <c r="P14" s="10"/>
      <c r="Q14" s="10"/>
      <c r="R14" s="10"/>
      <c r="S14" s="10"/>
      <c r="T14" s="10"/>
      <c r="U14" s="10"/>
      <c r="V14" s="19">
        <v>2910.8</v>
      </c>
      <c r="W14" s="56">
        <f t="shared" si="5"/>
        <v>3650.9500000000003</v>
      </c>
      <c r="X14" s="92">
        <f t="shared" si="4"/>
        <v>98613.43000000001</v>
      </c>
    </row>
    <row r="15" spans="1:24" ht="14.25" customHeight="1" thickBot="1">
      <c r="A15" s="40" t="s">
        <v>32</v>
      </c>
      <c r="B15" s="31" t="s">
        <v>6</v>
      </c>
      <c r="C15" s="67">
        <v>0</v>
      </c>
      <c r="D15" s="72">
        <v>3900.88</v>
      </c>
      <c r="E15" s="81">
        <v>0</v>
      </c>
      <c r="F15" s="67">
        <v>0</v>
      </c>
      <c r="G15" s="67">
        <v>6679.98</v>
      </c>
      <c r="H15" s="81"/>
      <c r="I15" s="67">
        <v>0</v>
      </c>
      <c r="J15" s="67">
        <v>8172.7</v>
      </c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9"/>
      <c r="W15" s="56">
        <f>SUM(K15:V15)</f>
        <v>0</v>
      </c>
      <c r="X15" s="92">
        <f t="shared" si="4"/>
        <v>18753.56</v>
      </c>
    </row>
    <row r="16" spans="1:24" ht="15.75" customHeight="1" thickBot="1">
      <c r="A16" s="40" t="s">
        <v>33</v>
      </c>
      <c r="B16" s="31" t="s">
        <v>49</v>
      </c>
      <c r="C16" s="67">
        <v>0</v>
      </c>
      <c r="D16" s="31">
        <v>0</v>
      </c>
      <c r="E16" s="81">
        <v>1596.09</v>
      </c>
      <c r="F16" s="67">
        <v>0</v>
      </c>
      <c r="G16" s="67">
        <v>0</v>
      </c>
      <c r="H16" s="81"/>
      <c r="I16" s="67">
        <v>0</v>
      </c>
      <c r="J16" s="67">
        <v>0</v>
      </c>
      <c r="K16" s="9"/>
      <c r="L16" s="10">
        <v>2000</v>
      </c>
      <c r="M16" s="10"/>
      <c r="N16" s="10"/>
      <c r="O16" s="10"/>
      <c r="P16" s="10"/>
      <c r="Q16" s="10"/>
      <c r="R16" s="10"/>
      <c r="S16" s="10"/>
      <c r="T16" s="10"/>
      <c r="U16" s="10"/>
      <c r="V16" s="19"/>
      <c r="W16" s="56">
        <f>SUM(K16:V16)</f>
        <v>2000</v>
      </c>
      <c r="X16" s="92">
        <f t="shared" si="4"/>
        <v>3596.09</v>
      </c>
    </row>
    <row r="17" spans="1:24" ht="14.25" customHeight="1" thickBot="1">
      <c r="A17" s="40" t="s">
        <v>34</v>
      </c>
      <c r="B17" s="34" t="s">
        <v>65</v>
      </c>
      <c r="C17" s="67">
        <v>270.78</v>
      </c>
      <c r="D17" s="34">
        <v>16217.7</v>
      </c>
      <c r="E17" s="81">
        <v>9598.06</v>
      </c>
      <c r="F17" s="67">
        <v>4212.86</v>
      </c>
      <c r="G17" s="67">
        <v>2262.86</v>
      </c>
      <c r="H17" s="81">
        <v>7093.33</v>
      </c>
      <c r="I17" s="67">
        <v>3163.96</v>
      </c>
      <c r="J17" s="67">
        <v>8972.03</v>
      </c>
      <c r="K17" s="9">
        <v>72</v>
      </c>
      <c r="L17" s="10">
        <v>90</v>
      </c>
      <c r="M17" s="10">
        <v>120</v>
      </c>
      <c r="N17" s="10"/>
      <c r="O17" s="10">
        <v>45</v>
      </c>
      <c r="P17" s="10">
        <v>210.4</v>
      </c>
      <c r="Q17" s="10">
        <v>60</v>
      </c>
      <c r="R17" s="10">
        <f>627+95</f>
        <v>722</v>
      </c>
      <c r="S17" s="10">
        <v>90</v>
      </c>
      <c r="T17" s="10">
        <v>432.12</v>
      </c>
      <c r="U17" s="10"/>
      <c r="V17" s="19">
        <v>60</v>
      </c>
      <c r="W17" s="56">
        <f t="shared" si="5"/>
        <v>1901.52</v>
      </c>
      <c r="X17" s="92">
        <f t="shared" si="4"/>
        <v>53693.100000000006</v>
      </c>
    </row>
    <row r="18" spans="1:24" ht="20.25" customHeight="1" thickBot="1">
      <c r="A18" s="40" t="s">
        <v>35</v>
      </c>
      <c r="B18" s="34" t="s">
        <v>48</v>
      </c>
      <c r="C18" s="67">
        <v>0</v>
      </c>
      <c r="D18" s="34">
        <v>0</v>
      </c>
      <c r="E18" s="81">
        <v>334.67</v>
      </c>
      <c r="F18" s="67">
        <v>256</v>
      </c>
      <c r="G18" s="67">
        <v>0</v>
      </c>
      <c r="H18" s="81">
        <v>11849.59</v>
      </c>
      <c r="I18" s="67">
        <v>52.96</v>
      </c>
      <c r="J18" s="67">
        <v>1096</v>
      </c>
      <c r="K18" s="9">
        <v>8</v>
      </c>
      <c r="L18" s="10">
        <v>94.94</v>
      </c>
      <c r="M18" s="10"/>
      <c r="N18" s="10"/>
      <c r="O18" s="10"/>
      <c r="P18" s="10"/>
      <c r="Q18" s="10"/>
      <c r="R18" s="10"/>
      <c r="S18" s="10"/>
      <c r="T18" s="10"/>
      <c r="U18" s="10"/>
      <c r="V18" s="19">
        <v>97.19</v>
      </c>
      <c r="W18" s="56">
        <f t="shared" si="5"/>
        <v>200.13</v>
      </c>
      <c r="X18" s="92">
        <f t="shared" si="4"/>
        <v>13789.35</v>
      </c>
    </row>
    <row r="19" spans="1:24" ht="15" customHeight="1" thickBot="1">
      <c r="A19" s="40" t="s">
        <v>36</v>
      </c>
      <c r="B19" s="34" t="s">
        <v>86</v>
      </c>
      <c r="C19" s="67">
        <v>1096.49</v>
      </c>
      <c r="D19" s="34">
        <v>3983.25</v>
      </c>
      <c r="E19" s="81">
        <v>3855.2</v>
      </c>
      <c r="F19" s="67">
        <v>2326.06</v>
      </c>
      <c r="G19" s="67">
        <v>0</v>
      </c>
      <c r="H19" s="81"/>
      <c r="I19" s="67">
        <v>0</v>
      </c>
      <c r="J19" s="67">
        <v>0</v>
      </c>
      <c r="K19" s="9">
        <v>575.53</v>
      </c>
      <c r="L19" s="10">
        <v>575.53</v>
      </c>
      <c r="M19" s="10">
        <v>575.53</v>
      </c>
      <c r="N19" s="10">
        <v>575.53</v>
      </c>
      <c r="O19" s="10">
        <v>575.53</v>
      </c>
      <c r="P19" s="10">
        <v>829.38</v>
      </c>
      <c r="Q19" s="10">
        <v>869.95</v>
      </c>
      <c r="R19" s="10">
        <v>869.95</v>
      </c>
      <c r="S19" s="10">
        <v>869.95</v>
      </c>
      <c r="T19" s="10">
        <v>869.95</v>
      </c>
      <c r="U19" s="10">
        <v>869.95</v>
      </c>
      <c r="V19" s="19">
        <v>869.95</v>
      </c>
      <c r="W19" s="56">
        <f t="shared" si="5"/>
        <v>8926.73</v>
      </c>
      <c r="X19" s="92">
        <f t="shared" si="4"/>
        <v>20187.730000000003</v>
      </c>
    </row>
    <row r="20" spans="1:24" ht="15" customHeight="1" thickBot="1">
      <c r="A20" s="40"/>
      <c r="B20" s="34" t="s">
        <v>87</v>
      </c>
      <c r="C20" s="67"/>
      <c r="D20" s="34"/>
      <c r="E20" s="81"/>
      <c r="F20" s="67"/>
      <c r="G20" s="67"/>
      <c r="H20" s="81"/>
      <c r="I20" s="67"/>
      <c r="J20" s="67"/>
      <c r="K20" s="9"/>
      <c r="L20" s="10"/>
      <c r="M20" s="10"/>
      <c r="N20" s="10"/>
      <c r="O20" s="10">
        <v>117.88</v>
      </c>
      <c r="P20" s="10">
        <v>86.57</v>
      </c>
      <c r="Q20" s="10">
        <v>57.64</v>
      </c>
      <c r="R20" s="10">
        <v>57.64</v>
      </c>
      <c r="S20" s="10">
        <v>57.64</v>
      </c>
      <c r="T20" s="10">
        <v>57.64</v>
      </c>
      <c r="U20" s="10">
        <v>57.64</v>
      </c>
      <c r="V20" s="19">
        <v>57.64</v>
      </c>
      <c r="W20" s="56">
        <f t="shared" si="5"/>
        <v>550.29</v>
      </c>
      <c r="X20" s="92">
        <f t="shared" si="4"/>
        <v>550.29</v>
      </c>
    </row>
    <row r="21" spans="1:24" ht="15" customHeight="1" thickBot="1">
      <c r="A21" s="40"/>
      <c r="B21" s="34" t="s">
        <v>88</v>
      </c>
      <c r="C21" s="67"/>
      <c r="D21" s="34"/>
      <c r="E21" s="81"/>
      <c r="F21" s="67"/>
      <c r="G21" s="67"/>
      <c r="H21" s="81"/>
      <c r="I21" s="67"/>
      <c r="J21" s="67"/>
      <c r="K21" s="9"/>
      <c r="L21" s="10"/>
      <c r="M21" s="10"/>
      <c r="N21" s="10"/>
      <c r="O21" s="10"/>
      <c r="P21" s="10">
        <v>49.7</v>
      </c>
      <c r="Q21" s="10">
        <v>50.9</v>
      </c>
      <c r="R21" s="10">
        <v>50.9</v>
      </c>
      <c r="S21" s="10">
        <v>50.9</v>
      </c>
      <c r="T21" s="10">
        <v>50.9</v>
      </c>
      <c r="U21" s="10">
        <v>50.9</v>
      </c>
      <c r="V21" s="19">
        <v>50.9</v>
      </c>
      <c r="W21" s="56">
        <f>SUM(K21:V21)</f>
        <v>355.09999999999997</v>
      </c>
      <c r="X21" s="92">
        <f>SUM(C21:V21)</f>
        <v>355.09999999999997</v>
      </c>
    </row>
    <row r="22" spans="1:24" ht="15.75" customHeight="1" thickBot="1">
      <c r="A22" s="40" t="s">
        <v>37</v>
      </c>
      <c r="B22" s="34" t="s">
        <v>7</v>
      </c>
      <c r="C22" s="67">
        <v>166.6</v>
      </c>
      <c r="D22" s="34">
        <v>1228.47</v>
      </c>
      <c r="E22" s="81">
        <v>634.97</v>
      </c>
      <c r="F22" s="67">
        <v>532.04</v>
      </c>
      <c r="G22" s="67">
        <v>393.47</v>
      </c>
      <c r="H22" s="81"/>
      <c r="I22" s="67">
        <v>0</v>
      </c>
      <c r="J22" s="67">
        <v>0</v>
      </c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9"/>
      <c r="W22" s="56">
        <f t="shared" si="5"/>
        <v>0</v>
      </c>
      <c r="X22" s="92">
        <f t="shared" si="4"/>
        <v>2955.55</v>
      </c>
    </row>
    <row r="23" spans="1:24" ht="34.5" customHeight="1" thickBot="1">
      <c r="A23" s="40" t="s">
        <v>38</v>
      </c>
      <c r="B23" s="34" t="s">
        <v>75</v>
      </c>
      <c r="C23" s="67">
        <v>0</v>
      </c>
      <c r="D23" s="34">
        <v>1738.71</v>
      </c>
      <c r="E23" s="81">
        <v>6185.15</v>
      </c>
      <c r="F23" s="67">
        <v>8793.31</v>
      </c>
      <c r="G23" s="67">
        <v>9444.64</v>
      </c>
      <c r="H23" s="81">
        <v>5187.5</v>
      </c>
      <c r="I23" s="67">
        <v>6118.04</v>
      </c>
      <c r="J23" s="67">
        <v>6469.63</v>
      </c>
      <c r="K23" s="9">
        <v>547.76</v>
      </c>
      <c r="L23" s="10">
        <v>512.18</v>
      </c>
      <c r="M23" s="10">
        <v>636.71</v>
      </c>
      <c r="N23" s="10">
        <v>473.2</v>
      </c>
      <c r="O23" s="10">
        <v>503.95</v>
      </c>
      <c r="P23" s="10">
        <v>566.73</v>
      </c>
      <c r="Q23" s="10">
        <v>459.31</v>
      </c>
      <c r="R23" s="10">
        <v>531.28</v>
      </c>
      <c r="S23" s="10">
        <v>499.73</v>
      </c>
      <c r="T23" s="10">
        <v>637.57</v>
      </c>
      <c r="U23" s="10">
        <v>659.5</v>
      </c>
      <c r="V23" s="19">
        <v>544.98</v>
      </c>
      <c r="W23" s="56">
        <f t="shared" si="5"/>
        <v>6572.9</v>
      </c>
      <c r="X23" s="92">
        <f t="shared" si="4"/>
        <v>50509.88</v>
      </c>
    </row>
    <row r="24" spans="1:24" ht="23.25" customHeight="1" thickBot="1">
      <c r="A24" s="40" t="s">
        <v>39</v>
      </c>
      <c r="B24" s="34" t="s">
        <v>76</v>
      </c>
      <c r="C24" s="67">
        <v>659.2</v>
      </c>
      <c r="D24" s="34">
        <v>3026.66</v>
      </c>
      <c r="E24" s="81">
        <v>3368.7</v>
      </c>
      <c r="F24" s="67">
        <v>1009.76</v>
      </c>
      <c r="G24" s="67">
        <v>717.73</v>
      </c>
      <c r="H24" s="81">
        <v>1560.48</v>
      </c>
      <c r="I24" s="67">
        <v>1054.36</v>
      </c>
      <c r="J24" s="67">
        <v>920.39</v>
      </c>
      <c r="K24" s="9">
        <v>120.37</v>
      </c>
      <c r="L24" s="10">
        <v>37.04</v>
      </c>
      <c r="M24" s="10">
        <v>39.76</v>
      </c>
      <c r="N24" s="10">
        <v>36.77</v>
      </c>
      <c r="O24" s="10">
        <v>35.68</v>
      </c>
      <c r="P24" s="10">
        <v>55.48</v>
      </c>
      <c r="Q24" s="10">
        <v>52.12</v>
      </c>
      <c r="R24" s="10">
        <v>160.45</v>
      </c>
      <c r="S24" s="10">
        <v>37.45</v>
      </c>
      <c r="T24" s="10">
        <v>55.37</v>
      </c>
      <c r="U24" s="10">
        <v>37.44</v>
      </c>
      <c r="V24" s="19">
        <v>51.05</v>
      </c>
      <c r="W24" s="56">
        <f t="shared" si="5"/>
        <v>718.98</v>
      </c>
      <c r="X24" s="92">
        <f t="shared" si="4"/>
        <v>13036.260000000004</v>
      </c>
    </row>
    <row r="25" spans="1:24" ht="31.5" customHeight="1" thickBot="1">
      <c r="A25" s="40" t="s">
        <v>62</v>
      </c>
      <c r="B25" s="34" t="s">
        <v>79</v>
      </c>
      <c r="C25" s="67">
        <v>0</v>
      </c>
      <c r="D25" s="34">
        <v>1253.97</v>
      </c>
      <c r="E25" s="81">
        <v>5320.34</v>
      </c>
      <c r="F25" s="67">
        <v>5248.94</v>
      </c>
      <c r="G25" s="67">
        <v>7040.56</v>
      </c>
      <c r="H25" s="81">
        <v>6051.12</v>
      </c>
      <c r="I25" s="67">
        <v>7911.29</v>
      </c>
      <c r="J25" s="67">
        <v>6732.18</v>
      </c>
      <c r="K25" s="9">
        <f>24.14+168.17+37.39</f>
        <v>229.7</v>
      </c>
      <c r="L25" s="10">
        <f>24.04+199.26+168.79</f>
        <v>392.09</v>
      </c>
      <c r="M25" s="10">
        <f>23.67+221.48+296.46</f>
        <v>541.6099999999999</v>
      </c>
      <c r="N25" s="10">
        <f>22.35+203+285.36</f>
        <v>510.71000000000004</v>
      </c>
      <c r="O25" s="10">
        <f>22.96+246.17+698.09</f>
        <v>967.22</v>
      </c>
      <c r="P25" s="10">
        <f>339.18+26.94+201.6</f>
        <v>567.72</v>
      </c>
      <c r="Q25" s="10">
        <f>29.48+177.42+316.75</f>
        <v>523.65</v>
      </c>
      <c r="R25" s="10">
        <f>31.95+163.71+377.53</f>
        <v>573.1899999999999</v>
      </c>
      <c r="S25" s="10">
        <f>324.12+25.69+207.62</f>
        <v>557.4300000000001</v>
      </c>
      <c r="T25" s="10">
        <f>33+234.64+342.28</f>
        <v>609.92</v>
      </c>
      <c r="U25" s="10">
        <f>30.29+273.42+540.3</f>
        <v>844.01</v>
      </c>
      <c r="V25" s="19">
        <f>31.21+275.5+229.23</f>
        <v>535.9399999999999</v>
      </c>
      <c r="W25" s="56">
        <f t="shared" si="5"/>
        <v>6853.1900000000005</v>
      </c>
      <c r="X25" s="92">
        <f t="shared" si="4"/>
        <v>46411.590000000004</v>
      </c>
    </row>
    <row r="26" spans="1:24" ht="15.75" customHeight="1" thickBot="1">
      <c r="A26" s="40" t="s">
        <v>63</v>
      </c>
      <c r="B26" s="34" t="s">
        <v>10</v>
      </c>
      <c r="C26" s="67">
        <v>632.04</v>
      </c>
      <c r="D26" s="34">
        <v>28137.45</v>
      </c>
      <c r="E26" s="81">
        <v>52297.73</v>
      </c>
      <c r="F26" s="67">
        <v>65931.52</v>
      </c>
      <c r="G26" s="67">
        <v>69560.43</v>
      </c>
      <c r="H26" s="81">
        <v>71216.78</v>
      </c>
      <c r="I26" s="67">
        <v>77783.06</v>
      </c>
      <c r="J26" s="67">
        <v>68993.84</v>
      </c>
      <c r="K26" s="9">
        <f>13863.45-7719.15</f>
        <v>6144.300000000001</v>
      </c>
      <c r="L26" s="10">
        <f>15299.63-9354.55</f>
        <v>5945.08</v>
      </c>
      <c r="M26" s="10">
        <f>13940.28-8796.88</f>
        <v>5143.4000000000015</v>
      </c>
      <c r="N26" s="10">
        <f>14496.44-8289.32</f>
        <v>6207.120000000001</v>
      </c>
      <c r="O26" s="10">
        <f>1375.55+275.44+2814.78+777.08</f>
        <v>5242.85</v>
      </c>
      <c r="P26" s="10">
        <f>12890.51-7613.05</f>
        <v>5277.46</v>
      </c>
      <c r="Q26" s="10">
        <f>13844.53-7856.64</f>
        <v>5987.89</v>
      </c>
      <c r="R26" s="10">
        <f>13854.51-8466.77</f>
        <v>5387.74</v>
      </c>
      <c r="S26" s="10">
        <f>12883.24-7548.54</f>
        <v>5334.7</v>
      </c>
      <c r="T26" s="10">
        <f>13493.59-8278.47</f>
        <v>5215.120000000001</v>
      </c>
      <c r="U26" s="10">
        <f>14033.63-7816.84</f>
        <v>6216.789999999999</v>
      </c>
      <c r="V26" s="19">
        <f>16257.22-10207.73</f>
        <v>6049.49</v>
      </c>
      <c r="W26" s="56">
        <f t="shared" si="5"/>
        <v>68151.94</v>
      </c>
      <c r="X26" s="92">
        <f t="shared" si="4"/>
        <v>502704.79</v>
      </c>
    </row>
    <row r="27" spans="1:24" ht="16.5" customHeight="1" thickBot="1">
      <c r="A27" s="40" t="s">
        <v>64</v>
      </c>
      <c r="B27" s="35" t="s">
        <v>4</v>
      </c>
      <c r="C27" s="68">
        <v>362.18</v>
      </c>
      <c r="D27" s="35">
        <v>4919.43</v>
      </c>
      <c r="E27" s="82">
        <v>8710.92</v>
      </c>
      <c r="F27" s="68">
        <v>17974.39</v>
      </c>
      <c r="G27" s="68">
        <v>21512.35</v>
      </c>
      <c r="H27" s="82">
        <v>23070.53</v>
      </c>
      <c r="I27" s="68">
        <v>24428.25</v>
      </c>
      <c r="J27" s="68">
        <v>27541.27</v>
      </c>
      <c r="K27" s="11">
        <f>1755.75+495.21</f>
        <v>2250.96</v>
      </c>
      <c r="L27" s="12">
        <f>1861.26+21.73+534.41</f>
        <v>2417.4</v>
      </c>
      <c r="M27" s="12">
        <f>1714.5+21.22+462.22</f>
        <v>2197.94</v>
      </c>
      <c r="N27" s="12">
        <f>1979.23+23.81+518.46</f>
        <v>2521.5</v>
      </c>
      <c r="O27" s="12">
        <f>1638.98+21.22+462.22</f>
        <v>2122.42</v>
      </c>
      <c r="P27" s="12">
        <f>1599.8+20.72+451.17</f>
        <v>2071.69</v>
      </c>
      <c r="Q27" s="12">
        <f>1916.37+37+540.45</f>
        <v>2493.8199999999997</v>
      </c>
      <c r="R27" s="12">
        <f>1689.32+34.32+462.06</f>
        <v>2185.7</v>
      </c>
      <c r="S27" s="12">
        <f>1681.36+34.15+459.89</f>
        <v>2175.4</v>
      </c>
      <c r="T27" s="12">
        <f>1944.6+39.5+531.89</f>
        <v>2515.99</v>
      </c>
      <c r="U27" s="12">
        <f>1712.89+34.8+468.51</f>
        <v>2216.2</v>
      </c>
      <c r="V27" s="21">
        <f>1505.42+30.58+411.77</f>
        <v>1947.77</v>
      </c>
      <c r="W27" s="56">
        <f>SUM(K27:V27)</f>
        <v>27116.79</v>
      </c>
      <c r="X27" s="92">
        <f t="shared" si="4"/>
        <v>155636.11000000002</v>
      </c>
    </row>
    <row r="28" spans="1:24" ht="15" customHeight="1" thickBot="1">
      <c r="A28" s="40"/>
      <c r="B28" s="42" t="s">
        <v>72</v>
      </c>
      <c r="C28" s="90"/>
      <c r="D28" s="36"/>
      <c r="E28" s="91"/>
      <c r="F28" s="90"/>
      <c r="G28" s="90"/>
      <c r="H28" s="96">
        <f>H8*5%</f>
        <v>7905.798</v>
      </c>
      <c r="I28" s="87">
        <f>I8*5%</f>
        <v>7905.384</v>
      </c>
      <c r="J28" s="99">
        <f>J8*5%</f>
        <v>7905.384</v>
      </c>
      <c r="K28" s="86">
        <f>K8*5%</f>
        <v>658.782</v>
      </c>
      <c r="L28" s="86">
        <f aca="true" t="shared" si="6" ref="L28:V28">L8*5%</f>
        <v>658.782</v>
      </c>
      <c r="M28" s="86">
        <f t="shared" si="6"/>
        <v>658.782</v>
      </c>
      <c r="N28" s="86">
        <f t="shared" si="6"/>
        <v>658.782</v>
      </c>
      <c r="O28" s="86">
        <f t="shared" si="6"/>
        <v>658.782</v>
      </c>
      <c r="P28" s="86">
        <f t="shared" si="6"/>
        <v>658.782</v>
      </c>
      <c r="Q28" s="86">
        <f t="shared" si="6"/>
        <v>658.782</v>
      </c>
      <c r="R28" s="86">
        <f t="shared" si="6"/>
        <v>658.782</v>
      </c>
      <c r="S28" s="86">
        <f t="shared" si="6"/>
        <v>658.782</v>
      </c>
      <c r="T28" s="86">
        <f t="shared" si="6"/>
        <v>658.782</v>
      </c>
      <c r="U28" s="86">
        <f t="shared" si="6"/>
        <v>658.782</v>
      </c>
      <c r="V28" s="86">
        <f t="shared" si="6"/>
        <v>658.782</v>
      </c>
      <c r="W28" s="87">
        <f>SUM(K28:V28)</f>
        <v>7905.384000000001</v>
      </c>
      <c r="X28" s="94"/>
    </row>
    <row r="29" spans="1:24" ht="16.5" customHeight="1" thickBot="1">
      <c r="A29" s="103" t="s">
        <v>40</v>
      </c>
      <c r="B29" s="62" t="s">
        <v>52</v>
      </c>
      <c r="C29" s="63"/>
      <c r="D29" s="62"/>
      <c r="E29" s="83"/>
      <c r="F29" s="63"/>
      <c r="G29" s="63"/>
      <c r="H29" s="83"/>
      <c r="I29" s="63"/>
      <c r="J29" s="63"/>
      <c r="K29" s="88">
        <f>SUM(K8+K9-K12)-K28</f>
        <v>114.84799999999734</v>
      </c>
      <c r="L29" s="88">
        <f aca="true" t="shared" si="7" ref="L29:V29">SUM(L8+L9-L12)-L28</f>
        <v>-2139.1320000000005</v>
      </c>
      <c r="M29" s="88">
        <f t="shared" si="7"/>
        <v>2.5679999999966867</v>
      </c>
      <c r="N29" s="88">
        <f t="shared" si="7"/>
        <v>-609.2520000000012</v>
      </c>
      <c r="O29" s="88">
        <f t="shared" si="7"/>
        <v>271.46799999999814</v>
      </c>
      <c r="P29" s="88">
        <f t="shared" si="7"/>
        <v>562.4979999999988</v>
      </c>
      <c r="Q29" s="88">
        <f t="shared" si="7"/>
        <v>-349.151999999999</v>
      </c>
      <c r="R29" s="88">
        <f t="shared" si="7"/>
        <v>-359.1319999999986</v>
      </c>
      <c r="S29" s="88">
        <f t="shared" si="7"/>
        <v>612.138</v>
      </c>
      <c r="T29" s="88">
        <f t="shared" si="7"/>
        <v>1.7879999999996699</v>
      </c>
      <c r="U29" s="88">
        <f t="shared" si="7"/>
        <v>-538.2519999999976</v>
      </c>
      <c r="V29" s="88">
        <f t="shared" si="7"/>
        <v>-2761.8419999999996</v>
      </c>
      <c r="W29" s="87">
        <f>SUM(K29:V29)</f>
        <v>-5191.454000000007</v>
      </c>
      <c r="X29" s="73"/>
    </row>
    <row r="30" spans="1:24" ht="17.25" customHeight="1" thickBot="1">
      <c r="A30" s="105" t="s">
        <v>41</v>
      </c>
      <c r="B30" s="42" t="s">
        <v>23</v>
      </c>
      <c r="C30" s="20">
        <f>SUM(C8-C12)</f>
        <v>6370.359999999997</v>
      </c>
      <c r="D30" s="56">
        <f>SUM(D8-D12)</f>
        <v>7305.009999999995</v>
      </c>
      <c r="E30" s="20">
        <f>SUM(E8-E12)</f>
        <v>19984.47</v>
      </c>
      <c r="F30" s="56">
        <f>SUM(F8-F12)</f>
        <v>17706.459999999992</v>
      </c>
      <c r="G30" s="56">
        <f>SUM(G8-G12)</f>
        <v>-7423.630000000005</v>
      </c>
      <c r="H30" s="97">
        <f>SUM(H8-H12)-H28</f>
        <v>-31271.27800000001</v>
      </c>
      <c r="I30" s="87">
        <f>SUM(I8-I12)-I28</f>
        <v>-16568.154000000017</v>
      </c>
      <c r="J30" s="87">
        <f>SUM(J8-J12)-J28</f>
        <v>-24661.794</v>
      </c>
      <c r="K30" s="88">
        <f>SUM(K8+K9-K12)-K28</f>
        <v>114.84799999999734</v>
      </c>
      <c r="L30" s="89">
        <f>SUM(L29+K30)</f>
        <v>-2024.2840000000033</v>
      </c>
      <c r="M30" s="89">
        <f aca="true" t="shared" si="8" ref="M30:V30">SUM(M29+L30)</f>
        <v>-2021.7160000000067</v>
      </c>
      <c r="N30" s="89">
        <f t="shared" si="8"/>
        <v>-2630.968000000008</v>
      </c>
      <c r="O30" s="89">
        <f t="shared" si="8"/>
        <v>-2359.50000000001</v>
      </c>
      <c r="P30" s="89">
        <f t="shared" si="8"/>
        <v>-1797.0020000000113</v>
      </c>
      <c r="Q30" s="89">
        <f t="shared" si="8"/>
        <v>-2146.1540000000105</v>
      </c>
      <c r="R30" s="89">
        <f t="shared" si="8"/>
        <v>-2505.286000000009</v>
      </c>
      <c r="S30" s="89">
        <f t="shared" si="8"/>
        <v>-1893.1480000000092</v>
      </c>
      <c r="T30" s="89">
        <f t="shared" si="8"/>
        <v>-1891.3600000000097</v>
      </c>
      <c r="U30" s="89">
        <f t="shared" si="8"/>
        <v>-2429.6120000000074</v>
      </c>
      <c r="V30" s="89">
        <f t="shared" si="8"/>
        <v>-5191.454000000007</v>
      </c>
      <c r="W30" s="56"/>
      <c r="X30" s="51"/>
    </row>
    <row r="31" spans="1:24" ht="21.75" customHeight="1" hidden="1" thickBot="1">
      <c r="A31" s="104" t="s">
        <v>42</v>
      </c>
      <c r="B31" s="36" t="s">
        <v>24</v>
      </c>
      <c r="C31" s="20">
        <f>SUM(C8-C12,B31)</f>
        <v>6370.359999999997</v>
      </c>
      <c r="D31" s="56">
        <f>SUM(D8-D12,C31)</f>
        <v>13675.369999999992</v>
      </c>
      <c r="E31" s="20">
        <f>SUM(E8-E12,D31)</f>
        <v>33659.84</v>
      </c>
      <c r="F31" s="56">
        <f>SUM(F8-F12,E31)</f>
        <v>51366.29999999999</v>
      </c>
      <c r="G31" s="56">
        <f>SUM(G8-G12,F31)</f>
        <v>43942.669999999984</v>
      </c>
      <c r="H31" s="97">
        <f>SUM(H30+G31)</f>
        <v>12671.391999999974</v>
      </c>
      <c r="I31" s="87">
        <f>SUM(I30+H31)</f>
        <v>-3896.7620000000425</v>
      </c>
      <c r="J31" s="87">
        <f>SUM(J30+I31)</f>
        <v>-28558.556000000044</v>
      </c>
      <c r="K31" s="98">
        <f>SUM(K30+J31)</f>
        <v>-28443.708000000046</v>
      </c>
      <c r="L31" s="87">
        <f aca="true" t="shared" si="9" ref="L31:U31">SUM(L29+K31)</f>
        <v>-30582.840000000047</v>
      </c>
      <c r="M31" s="87">
        <f t="shared" si="9"/>
        <v>-30580.27200000005</v>
      </c>
      <c r="N31" s="87">
        <f t="shared" si="9"/>
        <v>-31189.524000000052</v>
      </c>
      <c r="O31" s="87">
        <f t="shared" si="9"/>
        <v>-30918.056000000055</v>
      </c>
      <c r="P31" s="87">
        <f t="shared" si="9"/>
        <v>-30355.558000000055</v>
      </c>
      <c r="Q31" s="87">
        <f t="shared" si="9"/>
        <v>-30704.710000000054</v>
      </c>
      <c r="R31" s="87">
        <f t="shared" si="9"/>
        <v>-31063.84200000005</v>
      </c>
      <c r="S31" s="87">
        <f t="shared" si="9"/>
        <v>-30451.704000000052</v>
      </c>
      <c r="T31" s="87">
        <f t="shared" si="9"/>
        <v>-30449.916000000052</v>
      </c>
      <c r="U31" s="87">
        <f t="shared" si="9"/>
        <v>-30988.16800000005</v>
      </c>
      <c r="V31" s="87">
        <f>SUM(V29+U31)+0.02</f>
        <v>-33749.99000000005</v>
      </c>
      <c r="W31" s="56"/>
      <c r="X31" s="50"/>
    </row>
    <row r="32" spans="1:24" ht="11.25" customHeight="1" hidden="1" thickBot="1">
      <c r="A32" s="41" t="s">
        <v>44</v>
      </c>
      <c r="B32" s="36"/>
      <c r="C32" s="42"/>
      <c r="D32" s="36"/>
      <c r="E32" s="42"/>
      <c r="F32" s="75"/>
      <c r="G32" s="75"/>
      <c r="H32" s="75"/>
      <c r="I32" s="75"/>
      <c r="J32" s="75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22"/>
      <c r="W32" s="56"/>
      <c r="X32" s="52"/>
    </row>
    <row r="33" spans="1:24" ht="15" customHeight="1" hidden="1" thickBot="1">
      <c r="A33" s="41" t="s">
        <v>45</v>
      </c>
      <c r="B33" s="37"/>
      <c r="C33" s="43"/>
      <c r="D33" s="37"/>
      <c r="E33" s="43"/>
      <c r="F33" s="76"/>
      <c r="G33" s="76"/>
      <c r="H33" s="76"/>
      <c r="I33" s="76"/>
      <c r="J33" s="7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3"/>
      <c r="W33" s="58"/>
      <c r="X33" s="51"/>
    </row>
    <row r="34" spans="1:24" ht="24" customHeight="1" hidden="1" thickBot="1">
      <c r="A34" s="61" t="s">
        <v>47</v>
      </c>
      <c r="B34" s="38"/>
      <c r="C34" s="44"/>
      <c r="D34" s="38"/>
      <c r="E34" s="44"/>
      <c r="F34" s="77"/>
      <c r="G34" s="77"/>
      <c r="H34" s="77"/>
      <c r="I34" s="77"/>
      <c r="J34" s="77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6"/>
      <c r="W34" s="59"/>
      <c r="X34" s="53"/>
    </row>
    <row r="35" spans="1:24" ht="24" customHeight="1" hidden="1" thickBot="1">
      <c r="A35" s="61" t="s">
        <v>50</v>
      </c>
      <c r="B35" s="38"/>
      <c r="C35" s="44"/>
      <c r="D35" s="38"/>
      <c r="E35" s="44"/>
      <c r="F35" s="77"/>
      <c r="G35" s="77"/>
      <c r="H35" s="77"/>
      <c r="I35" s="77"/>
      <c r="J35" s="77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6"/>
      <c r="W35" s="59"/>
      <c r="X35" s="53"/>
    </row>
    <row r="36" spans="1:24" ht="24" customHeight="1" hidden="1" thickBot="1">
      <c r="A36" s="40" t="s">
        <v>43</v>
      </c>
      <c r="B36" s="36" t="s">
        <v>53</v>
      </c>
      <c r="C36" s="43"/>
      <c r="D36" s="62"/>
      <c r="E36" s="63"/>
      <c r="F36" s="74"/>
      <c r="G36" s="74"/>
      <c r="H36" s="74"/>
      <c r="I36" s="74"/>
      <c r="J36" s="7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7">
        <v>17847.5</v>
      </c>
      <c r="W36" s="57"/>
      <c r="X36" s="50"/>
    </row>
    <row r="37" spans="1:24" ht="23.25" hidden="1" thickBot="1">
      <c r="A37" s="40" t="s">
        <v>43</v>
      </c>
      <c r="B37" s="36" t="s">
        <v>54</v>
      </c>
      <c r="C37" s="36"/>
      <c r="D37" s="36"/>
      <c r="E37" s="42"/>
      <c r="F37" s="75"/>
      <c r="G37" s="75"/>
      <c r="H37" s="75"/>
      <c r="I37" s="75"/>
      <c r="J37" s="7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0">
        <v>31522.9</v>
      </c>
      <c r="W37" s="56"/>
      <c r="X37" s="50"/>
    </row>
    <row r="38" ht="12.75" hidden="1"/>
    <row r="39" ht="12.75">
      <c r="B39" t="s">
        <v>78</v>
      </c>
    </row>
    <row r="44" ht="12.75" customHeight="1"/>
    <row r="45" ht="12.75" customHeight="1"/>
  </sheetData>
  <sheetProtection/>
  <mergeCells count="5">
    <mergeCell ref="B4:X4"/>
    <mergeCell ref="B5:X5"/>
    <mergeCell ref="B3:X3"/>
    <mergeCell ref="B1:M1"/>
    <mergeCell ref="B2:V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2018-02-02T10:52:23Z</cp:lastPrinted>
  <dcterms:created xsi:type="dcterms:W3CDTF">2011-06-16T11:06:26Z</dcterms:created>
  <dcterms:modified xsi:type="dcterms:W3CDTF">2018-02-12T06:27:07Z</dcterms:modified>
  <cp:category/>
  <cp:version/>
  <cp:contentType/>
  <cp:contentStatus/>
</cp:coreProperties>
</file>