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<sst xmlns="http://schemas.openxmlformats.org/spreadsheetml/2006/main" count="70" uniqueCount="69">
  <si>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</si>
  <si>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</si>
  <si>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</si>
  <si>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</si>
  <si>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</si>
  <si>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</si>
  <si>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</si>
  <si>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</si>
  <si>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</si>
  <si>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</si>
  <si>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</si>
  <si>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</si>
  <si>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</si>
  <si>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</si>
  <si>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</si>
  <si>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</si>
  <si>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</si>
  <si>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</si>
  <si>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</si>
  <si>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</si>
  <si>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</si>
  <si>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</si>
  <si>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</si>
  <si>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</si>
  <si>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</si>
  <si>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</si>
  <si>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</si>
  <si>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</si>
  <si>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</si>
  <si>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</si>
  <si>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</si>
  <si>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</si>
  <si>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</si>
  <si>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</si>
  <si>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</si>
  <si>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</si>
  <si>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</si>
  <si>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</si>
  <si>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</si>
  <si>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</si>
  <si>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</si>
  <si>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</si>
  <si>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</si>
  <si>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</si>
  <si>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</si>
  <si>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пер.Суворова д.3</t>
  </si>
  <si>
    <t>10</t>
  </si>
  <si>
    <t>Финансовый результат по дому с начала  года</t>
  </si>
  <si>
    <t>за 2010 г</t>
  </si>
  <si>
    <t>Итого за 2011</t>
  </si>
  <si>
    <t>Результат за месяц</t>
  </si>
  <si>
    <t>Итого за 2012</t>
  </si>
  <si>
    <t>Благоустройство территории</t>
  </si>
  <si>
    <t>4.12</t>
  </si>
  <si>
    <t>Итого за 2013</t>
  </si>
  <si>
    <t xml:space="preserve">%  оплаты </t>
  </si>
  <si>
    <t>Итого за 2014</t>
  </si>
  <si>
    <t>рентабельность 5%</t>
  </si>
  <si>
    <t>Итого за 2015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</si>
  <si>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</si>
  <si>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</si>
  <si>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</si>
  <si>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</si>
  <si>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организаций</t>
  </si>
  <si>
    <t>Дом по пер.Суворова д.3 вступил в ООО "Наш дом" с апреля 2010 года                                    тариф 9,32 руб</t>
  </si>
  <si>
    <t>Исполнитель вед. экономист  /Викторова Л.С./</t>
  </si>
  <si>
    <t>Итого за 2016</t>
  </si>
  <si>
    <t>Итого за 2017</t>
  </si>
  <si>
    <t>Всего за 2010-2017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</si>
</sst>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1" fontId="21" fillId="0" borderId="38" xfId="0" applyNumberFormat="1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2" fontId="21" fillId="0" borderId="39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19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1" fontId="21" fillId="0" borderId="35" xfId="0" applyNumberFormat="1" applyFont="1" applyBorder="1" applyAlignment="1">
      <alignment horizontal="center"/>
    </xf>
    <xf numFmtId="2" fontId="21" fillId="0" borderId="26" xfId="0" applyNumberFormat="1" applyFont="1" applyBorder="1" applyAlignment="1">
      <alignment/>
    </xf>
    <xf numFmtId="2" fontId="25" fillId="0" borderId="26" xfId="0" applyNumberFormat="1" applyFont="1" applyBorder="1" applyAlignment="1">
      <alignment/>
    </xf>
    <xf numFmtId="2" fontId="25" fillId="0" borderId="27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27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9" xfId="0" applyFont="1" applyBorder="1" applyAlignment="1">
      <alignment/>
    </xf>
    <xf numFmtId="1" fontId="27" fillId="0" borderId="36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/>
    </xf>
    <xf numFmtId="2" fontId="27" fillId="0" borderId="27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1" fillId="0" borderId="45" xfId="0" applyFont="1" applyBorder="1" applyAlignment="1">
      <alignment/>
    </xf>
    <xf numFmtId="0" fontId="19" fillId="0" borderId="45" xfId="0" applyFont="1" applyBorder="1" applyAlignment="1">
      <alignment horizontal="center" vertical="center" wrapText="1"/>
    </xf>
    <xf numFmtId="2" fontId="21" fillId="0" borderId="37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M36" sqref="M36"/>
    </sheetView>
  </sheetViews>
  <sheetFormatPr defaultColWidth="9.00390625" defaultRowHeight="12.75"/>
  <cols>
    <col min="1" max="1" width="4.25390625" style="35" customWidth="1"/>
    <col min="2" max="2" width="16.875" style="0" customWidth="1"/>
    <col min="3" max="4" width="8.125" style="0" hidden="1" customWidth="1"/>
    <col min="5" max="5" width="9.625" style="0" hidden="1" customWidth="1"/>
    <col min="6" max="6" width="9.00390625" style="0" hidden="1" customWidth="1"/>
    <col min="7" max="7" width="9.25390625" style="0" hidden="1" customWidth="1"/>
    <col min="8" max="8" width="8.875" style="0" hidden="1" customWidth="1"/>
    <col min="9" max="9" width="9.25390625" style="0" hidden="1" customWidth="1"/>
    <col min="10" max="10" width="8.00390625" style="0" customWidth="1"/>
    <col min="11" max="11" width="7.75390625" style="0" customWidth="1"/>
    <col min="12" max="12" width="8.625" style="0" customWidth="1"/>
    <col min="13" max="13" width="8.125" style="0" customWidth="1"/>
    <col min="14" max="14" width="9.375" style="0" customWidth="1"/>
    <col min="15" max="15" width="8.625" style="0" customWidth="1"/>
    <col min="16" max="16" width="8.875" style="0" customWidth="1"/>
    <col min="17" max="17" width="8.25390625" style="0" customWidth="1"/>
    <col min="18" max="18" width="8.75390625" style="0" customWidth="1"/>
    <col min="19" max="19" width="9.00390625" style="0" customWidth="1"/>
    <col min="20" max="20" width="8.875" style="0" customWidth="1"/>
    <col min="21" max="21" width="8.75390625" style="0" customWidth="1"/>
    <col min="22" max="22" width="10.25390625" style="0" customWidth="1"/>
    <col min="23" max="23" width="10.125" style="0" hidden="1" customWidth="1"/>
  </cols>
  <sheetData>
    <row r="1" spans="2:28" ht="12.75" customHeight="1">
      <c r="B1" s="96" t="s">
        <v>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3"/>
      <c r="Y3" s="3"/>
      <c r="Z3" s="3"/>
      <c r="AA3" s="3"/>
      <c r="AB3" s="3"/>
    </row>
    <row r="4" spans="2:28" ht="15" customHeight="1">
      <c r="B4" s="94" t="s">
        <v>10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2"/>
      <c r="Y4" s="2"/>
      <c r="Z4" s="2"/>
      <c r="AA4" s="2"/>
      <c r="AB4" s="2"/>
    </row>
    <row r="5" spans="2:28" ht="16.5" customHeight="1" thickBot="1">
      <c r="B5" s="94" t="s">
        <v>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2"/>
      <c r="Y5" s="2"/>
      <c r="Z5" s="2"/>
      <c r="AA5" s="2"/>
      <c r="AB5" s="2"/>
    </row>
    <row r="6" spans="1:28" ht="40.5" customHeight="1" thickBot="1">
      <c r="A6" s="47" t="s">
        <v>27</v>
      </c>
      <c r="B6" s="36" t="s">
        <v>6</v>
      </c>
      <c r="C6" s="50" t="s">
        <v>48</v>
      </c>
      <c r="D6" s="60" t="s">
        <v>49</v>
      </c>
      <c r="E6" s="60" t="s">
        <v>51</v>
      </c>
      <c r="F6" s="91" t="s">
        <v>54</v>
      </c>
      <c r="G6" s="60" t="s">
        <v>56</v>
      </c>
      <c r="H6" s="60" t="s">
        <v>58</v>
      </c>
      <c r="I6" s="60" t="s">
        <v>66</v>
      </c>
      <c r="J6" s="6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22</v>
      </c>
      <c r="U6" s="17" t="s">
        <v>21</v>
      </c>
      <c r="V6" s="60" t="s">
        <v>67</v>
      </c>
      <c r="W6" s="24" t="s">
        <v>68</v>
      </c>
      <c r="X6" s="1"/>
      <c r="Y6" s="1"/>
      <c r="Z6" s="1"/>
      <c r="AA6" s="1"/>
      <c r="AB6" s="1"/>
    </row>
    <row r="7" spans="1:23" ht="12.75">
      <c r="A7" s="48" t="s">
        <v>28</v>
      </c>
      <c r="B7" s="37" t="s">
        <v>1</v>
      </c>
      <c r="C7" s="78">
        <v>18286.56</v>
      </c>
      <c r="D7" s="79">
        <v>26879.08</v>
      </c>
      <c r="E7" s="78">
        <v>27378.48</v>
      </c>
      <c r="F7" s="79">
        <v>27378.48</v>
      </c>
      <c r="G7" s="78">
        <v>27378.48</v>
      </c>
      <c r="H7" s="78">
        <v>27378.48</v>
      </c>
      <c r="I7" s="78">
        <v>27326.32</v>
      </c>
      <c r="J7" s="7">
        <v>2268.5</v>
      </c>
      <c r="K7" s="8">
        <v>2268.5</v>
      </c>
      <c r="L7" s="8">
        <v>2268.5</v>
      </c>
      <c r="M7" s="8">
        <v>2268.5</v>
      </c>
      <c r="N7" s="8">
        <v>2268.5</v>
      </c>
      <c r="O7" s="8">
        <v>2268.5</v>
      </c>
      <c r="P7" s="8">
        <v>2268.5</v>
      </c>
      <c r="Q7" s="8">
        <v>2268.5</v>
      </c>
      <c r="R7" s="8">
        <v>2268.5</v>
      </c>
      <c r="S7" s="8">
        <v>2268.5</v>
      </c>
      <c r="T7" s="8">
        <v>2268.5</v>
      </c>
      <c r="U7" s="18">
        <v>2268.5</v>
      </c>
      <c r="V7" s="61">
        <f>SUM(J7:U7)</f>
        <v>27222</v>
      </c>
      <c r="W7" s="83">
        <f>SUM(C7:U7)</f>
        <v>209227.88</v>
      </c>
    </row>
    <row r="8" spans="1:23" ht="12.75">
      <c r="A8" s="48" t="s">
        <v>29</v>
      </c>
      <c r="B8" s="38" t="s">
        <v>2</v>
      </c>
      <c r="C8" s="80">
        <v>16117.77</v>
      </c>
      <c r="D8" s="81">
        <v>26629.38</v>
      </c>
      <c r="E8" s="80">
        <v>27378.48</v>
      </c>
      <c r="F8" s="81">
        <v>27381.48</v>
      </c>
      <c r="G8" s="80">
        <v>27378.48</v>
      </c>
      <c r="H8" s="80">
        <v>27378.48</v>
      </c>
      <c r="I8" s="80">
        <v>27339.36</v>
      </c>
      <c r="J8" s="9">
        <v>2268.5</v>
      </c>
      <c r="K8" s="10">
        <v>2268.5</v>
      </c>
      <c r="L8" s="10">
        <v>2268.5</v>
      </c>
      <c r="M8" s="10">
        <v>2268.5</v>
      </c>
      <c r="N8" s="10">
        <v>2268.5</v>
      </c>
      <c r="O8" s="10">
        <v>2268.5</v>
      </c>
      <c r="P8" s="10">
        <v>2268.5</v>
      </c>
      <c r="Q8" s="10">
        <v>2268.5</v>
      </c>
      <c r="R8" s="10">
        <v>2268.5</v>
      </c>
      <c r="S8" s="10">
        <v>2268.5</v>
      </c>
      <c r="T8" s="10">
        <v>2268.5</v>
      </c>
      <c r="U8" s="19">
        <v>2268.5</v>
      </c>
      <c r="V8" s="61">
        <f>SUM(J8:U8)</f>
        <v>27222</v>
      </c>
      <c r="W8" s="84">
        <f>SUM(C8:U8)</f>
        <v>206825.43</v>
      </c>
    </row>
    <row r="9" spans="1:23" ht="15" customHeight="1" thickBot="1">
      <c r="A9" s="48" t="s">
        <v>30</v>
      </c>
      <c r="B9" s="39" t="s">
        <v>55</v>
      </c>
      <c r="C9" s="66">
        <f aca="true" t="shared" si="0" ref="C9:J9">SUM(C8/C7*100)</f>
        <v>88.13997821350762</v>
      </c>
      <c r="D9" s="56">
        <f t="shared" si="0"/>
        <v>99.07102475233526</v>
      </c>
      <c r="E9" s="66">
        <f t="shared" si="0"/>
        <v>100</v>
      </c>
      <c r="F9" s="56">
        <f t="shared" si="0"/>
        <v>100.01095751115474</v>
      </c>
      <c r="G9" s="66">
        <f t="shared" si="0"/>
        <v>100</v>
      </c>
      <c r="H9" s="66">
        <f>SUM(H8/H7*100)</f>
        <v>100</v>
      </c>
      <c r="I9" s="66">
        <f>SUM(I8/I7*100)</f>
        <v>100.04771956121425</v>
      </c>
      <c r="J9" s="27">
        <f t="shared" si="0"/>
        <v>100</v>
      </c>
      <c r="K9" s="27">
        <f aca="true" t="shared" si="1" ref="K9:U9">SUM(K8/K7*100)</f>
        <v>100</v>
      </c>
      <c r="L9" s="27">
        <f t="shared" si="1"/>
        <v>100</v>
      </c>
      <c r="M9" s="27">
        <f t="shared" si="1"/>
        <v>100</v>
      </c>
      <c r="N9" s="27">
        <f t="shared" si="1"/>
        <v>100</v>
      </c>
      <c r="O9" s="27">
        <f t="shared" si="1"/>
        <v>100</v>
      </c>
      <c r="P9" s="27">
        <f t="shared" si="1"/>
        <v>100</v>
      </c>
      <c r="Q9" s="27">
        <f t="shared" si="1"/>
        <v>100</v>
      </c>
      <c r="R9" s="27">
        <f t="shared" si="1"/>
        <v>100</v>
      </c>
      <c r="S9" s="27">
        <f t="shared" si="1"/>
        <v>100</v>
      </c>
      <c r="T9" s="27">
        <f t="shared" si="1"/>
        <v>100</v>
      </c>
      <c r="U9" s="56">
        <f t="shared" si="1"/>
        <v>100</v>
      </c>
      <c r="V9" s="57">
        <f>SUM(V8/V7*100)</f>
        <v>100</v>
      </c>
      <c r="W9" s="85">
        <f>SUM(W8/W7*100)</f>
        <v>98.85175436466689</v>
      </c>
    </row>
    <row r="10" spans="1:23" ht="17.25" customHeight="1" thickBot="1">
      <c r="A10" s="48" t="s">
        <v>31</v>
      </c>
      <c r="B10" s="40" t="s">
        <v>3</v>
      </c>
      <c r="C10" s="67">
        <f aca="true" t="shared" si="2" ref="C10:J10">SUM(C11:C19)</f>
        <v>21329.34</v>
      </c>
      <c r="D10" s="20">
        <f t="shared" si="2"/>
        <v>21179.59</v>
      </c>
      <c r="E10" s="62">
        <f t="shared" si="2"/>
        <v>22375.05</v>
      </c>
      <c r="F10" s="20">
        <f t="shared" si="2"/>
        <v>21976.52</v>
      </c>
      <c r="G10" s="62">
        <f t="shared" si="2"/>
        <v>22672.67</v>
      </c>
      <c r="H10" s="62">
        <f>SUM(H11:H19)</f>
        <v>25058.23</v>
      </c>
      <c r="I10" s="62">
        <f>SUM(I11:I19)</f>
        <v>24283.160000000003</v>
      </c>
      <c r="J10" s="13">
        <f t="shared" si="2"/>
        <v>1965.15</v>
      </c>
      <c r="K10" s="13">
        <f aca="true" t="shared" si="3" ref="K10:U10">SUM(K11:K19)</f>
        <v>1851.8600000000004</v>
      </c>
      <c r="L10" s="13">
        <f t="shared" si="3"/>
        <v>1932.1800000000003</v>
      </c>
      <c r="M10" s="13">
        <f t="shared" si="3"/>
        <v>1939.09</v>
      </c>
      <c r="N10" s="13">
        <f t="shared" si="3"/>
        <v>2015.11</v>
      </c>
      <c r="O10" s="13">
        <f t="shared" si="3"/>
        <v>1951.93</v>
      </c>
      <c r="P10" s="13">
        <f t="shared" si="3"/>
        <v>2066.47</v>
      </c>
      <c r="Q10" s="13">
        <f t="shared" si="3"/>
        <v>2094.4</v>
      </c>
      <c r="R10" s="13">
        <f t="shared" si="3"/>
        <v>1957.61</v>
      </c>
      <c r="S10" s="13">
        <f t="shared" si="3"/>
        <v>1975.6499999999999</v>
      </c>
      <c r="T10" s="13">
        <f t="shared" si="3"/>
        <v>2017.9</v>
      </c>
      <c r="U10" s="20">
        <f t="shared" si="3"/>
        <v>2237.76</v>
      </c>
      <c r="V10" s="62">
        <f>SUM(J10:U10)</f>
        <v>24005.11</v>
      </c>
      <c r="W10" s="86">
        <f>SUM(C10:U10)</f>
        <v>182879.66999999993</v>
      </c>
    </row>
    <row r="11" spans="1:23" ht="16.5" customHeight="1" thickBot="1">
      <c r="A11" s="48" t="s">
        <v>32</v>
      </c>
      <c r="B11" s="41" t="s">
        <v>5</v>
      </c>
      <c r="C11" s="58">
        <v>2652.78</v>
      </c>
      <c r="D11" s="73">
        <v>4151</v>
      </c>
      <c r="E11" s="58">
        <v>3949.54</v>
      </c>
      <c r="F11" s="73">
        <v>4749.97</v>
      </c>
      <c r="G11" s="58">
        <v>5404.8</v>
      </c>
      <c r="H11" s="58">
        <v>5191.21</v>
      </c>
      <c r="I11" s="58">
        <v>5285.5</v>
      </c>
      <c r="J11" s="7">
        <f>424+5.43</f>
        <v>429.43</v>
      </c>
      <c r="K11" s="8">
        <f>424+25.51</f>
        <v>449.51</v>
      </c>
      <c r="L11" s="8">
        <f>424+14.98</f>
        <v>438.98</v>
      </c>
      <c r="M11" s="8">
        <f>424+47.47</f>
        <v>471.47</v>
      </c>
      <c r="N11" s="8">
        <f>424+23.69</f>
        <v>447.69</v>
      </c>
      <c r="O11" s="8">
        <f>424+14.48</f>
        <v>438.48</v>
      </c>
      <c r="P11" s="8">
        <f>424+22.82</f>
        <v>446.82</v>
      </c>
      <c r="Q11" s="8">
        <f>424+26.53</f>
        <v>450.53</v>
      </c>
      <c r="R11" s="8">
        <f>424+27.44</f>
        <v>451.44</v>
      </c>
      <c r="S11" s="8">
        <f>424+28.53</f>
        <v>452.53</v>
      </c>
      <c r="T11" s="8">
        <f>424+24.93</f>
        <v>448.93</v>
      </c>
      <c r="U11" s="18">
        <f>424+24.98</f>
        <v>448.98</v>
      </c>
      <c r="V11" s="63">
        <f aca="true" t="shared" si="4" ref="V11:V18">SUM(J11:U11)</f>
        <v>5374.790000000001</v>
      </c>
      <c r="W11" s="87">
        <f>SUM(C11:U11)</f>
        <v>36759.590000000004</v>
      </c>
    </row>
    <row r="12" spans="1:23" ht="23.25" customHeight="1" thickBot="1">
      <c r="A12" s="48" t="s">
        <v>33</v>
      </c>
      <c r="B12" s="42" t="s">
        <v>63</v>
      </c>
      <c r="C12" s="59">
        <v>3889.38</v>
      </c>
      <c r="D12" s="74">
        <v>2464.31</v>
      </c>
      <c r="E12" s="59">
        <v>7.72</v>
      </c>
      <c r="F12" s="74">
        <v>4.22</v>
      </c>
      <c r="G12" s="59"/>
      <c r="H12" s="59">
        <v>225</v>
      </c>
      <c r="I12" s="59">
        <v>14.48</v>
      </c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9"/>
      <c r="V12" s="62">
        <f t="shared" si="4"/>
        <v>0</v>
      </c>
      <c r="W12" s="86">
        <f aca="true" t="shared" si="5" ref="W12:W18">SUM(C12:U12)</f>
        <v>6605.110000000001</v>
      </c>
    </row>
    <row r="13" spans="1:23" ht="15" customHeight="1" thickBot="1">
      <c r="A13" s="48" t="s">
        <v>34</v>
      </c>
      <c r="B13" s="42" t="s">
        <v>59</v>
      </c>
      <c r="C13" s="59">
        <v>7763.65</v>
      </c>
      <c r="D13" s="74">
        <v>18.5</v>
      </c>
      <c r="E13" s="59">
        <v>1622.55</v>
      </c>
      <c r="F13" s="74">
        <v>0</v>
      </c>
      <c r="G13" s="59">
        <v>80.81</v>
      </c>
      <c r="H13" s="59">
        <v>770.23</v>
      </c>
      <c r="I13" s="59">
        <v>1809.6</v>
      </c>
      <c r="J13" s="9"/>
      <c r="K13" s="10"/>
      <c r="L13" s="10"/>
      <c r="M13" s="10"/>
      <c r="N13" s="10"/>
      <c r="O13" s="10"/>
      <c r="P13" s="10"/>
      <c r="Q13" s="10">
        <v>95</v>
      </c>
      <c r="R13" s="10"/>
      <c r="S13" s="10"/>
      <c r="T13" s="10"/>
      <c r="U13" s="19">
        <v>330</v>
      </c>
      <c r="V13" s="62">
        <f t="shared" si="4"/>
        <v>425</v>
      </c>
      <c r="W13" s="86">
        <f t="shared" si="5"/>
        <v>12490.339999999998</v>
      </c>
    </row>
    <row r="14" spans="1:23" ht="24" customHeight="1" thickBot="1">
      <c r="A14" s="48" t="s">
        <v>35</v>
      </c>
      <c r="B14" s="42" t="s">
        <v>52</v>
      </c>
      <c r="C14" s="59">
        <v>120.74</v>
      </c>
      <c r="D14" s="74">
        <v>0</v>
      </c>
      <c r="E14" s="59">
        <v>256</v>
      </c>
      <c r="F14" s="74">
        <v>0</v>
      </c>
      <c r="G14" s="59"/>
      <c r="H14" s="59">
        <v>0</v>
      </c>
      <c r="I14" s="59">
        <v>51</v>
      </c>
      <c r="J14" s="9">
        <v>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9"/>
      <c r="V14" s="62">
        <f>SUM(J14:U14)</f>
        <v>8</v>
      </c>
      <c r="W14" s="86">
        <f>SUM(C14:U14)</f>
        <v>435.74</v>
      </c>
    </row>
    <row r="15" spans="1:23" ht="39" customHeight="1" thickBot="1">
      <c r="A15" s="48" t="s">
        <v>36</v>
      </c>
      <c r="B15" s="42" t="s">
        <v>60</v>
      </c>
      <c r="C15" s="59">
        <v>333.39</v>
      </c>
      <c r="D15" s="74">
        <v>1188.64</v>
      </c>
      <c r="E15" s="59">
        <v>1498.16</v>
      </c>
      <c r="F15" s="74">
        <v>1324.77</v>
      </c>
      <c r="G15" s="59">
        <v>997.53</v>
      </c>
      <c r="H15" s="59">
        <v>1176.51</v>
      </c>
      <c r="I15" s="59">
        <v>1242.15</v>
      </c>
      <c r="J15" s="9">
        <v>104.73</v>
      </c>
      <c r="K15" s="10">
        <v>97.93</v>
      </c>
      <c r="L15" s="10">
        <v>121.74</v>
      </c>
      <c r="M15" s="10">
        <v>90.48</v>
      </c>
      <c r="N15" s="10">
        <v>96.36</v>
      </c>
      <c r="O15" s="10">
        <v>108.36</v>
      </c>
      <c r="P15" s="10">
        <v>87.82</v>
      </c>
      <c r="Q15" s="10">
        <v>101.58</v>
      </c>
      <c r="R15" s="10">
        <v>95.55</v>
      </c>
      <c r="S15" s="10">
        <v>121.91</v>
      </c>
      <c r="T15" s="10">
        <v>126.1</v>
      </c>
      <c r="U15" s="19">
        <v>104.2</v>
      </c>
      <c r="V15" s="63">
        <f t="shared" si="4"/>
        <v>1256.76</v>
      </c>
      <c r="W15" s="87">
        <f t="shared" si="5"/>
        <v>9017.910000000002</v>
      </c>
    </row>
    <row r="16" spans="1:23" ht="37.5" customHeight="1" thickBot="1">
      <c r="A16" s="48" t="s">
        <v>37</v>
      </c>
      <c r="B16" s="42" t="s">
        <v>61</v>
      </c>
      <c r="C16" s="51">
        <v>548.14</v>
      </c>
      <c r="D16" s="75">
        <v>647.07</v>
      </c>
      <c r="E16" s="51">
        <v>194.08</v>
      </c>
      <c r="F16" s="75">
        <v>137.98</v>
      </c>
      <c r="G16" s="51">
        <v>300.08</v>
      </c>
      <c r="H16" s="51">
        <v>202.75</v>
      </c>
      <c r="I16" s="51">
        <v>176.53</v>
      </c>
      <c r="J16" s="9">
        <v>23.02</v>
      </c>
      <c r="K16" s="10">
        <v>7.08</v>
      </c>
      <c r="L16" s="10">
        <v>7.6</v>
      </c>
      <c r="M16" s="10">
        <v>7.03</v>
      </c>
      <c r="N16" s="10">
        <v>6.82</v>
      </c>
      <c r="O16" s="10">
        <v>10.61</v>
      </c>
      <c r="P16" s="10">
        <v>9.96</v>
      </c>
      <c r="Q16" s="10">
        <v>30.68</v>
      </c>
      <c r="R16" s="10">
        <v>7.16</v>
      </c>
      <c r="S16" s="10">
        <v>10.59</v>
      </c>
      <c r="T16" s="10">
        <v>7.16</v>
      </c>
      <c r="U16" s="19">
        <v>9.76</v>
      </c>
      <c r="V16" s="62">
        <f t="shared" si="4"/>
        <v>137.47</v>
      </c>
      <c r="W16" s="86">
        <f t="shared" si="5"/>
        <v>2344.1000000000004</v>
      </c>
    </row>
    <row r="17" spans="1:23" ht="46.5" customHeight="1" thickBot="1">
      <c r="A17" s="48" t="s">
        <v>38</v>
      </c>
      <c r="B17" s="42" t="s">
        <v>62</v>
      </c>
      <c r="C17" s="51">
        <v>178.8</v>
      </c>
      <c r="D17" s="75">
        <v>1052.96</v>
      </c>
      <c r="E17" s="51">
        <v>1008.9</v>
      </c>
      <c r="F17" s="75">
        <v>1353.48</v>
      </c>
      <c r="G17" s="51">
        <v>1011.35</v>
      </c>
      <c r="H17" s="51">
        <v>1500.93</v>
      </c>
      <c r="I17" s="51">
        <v>1292.09</v>
      </c>
      <c r="J17" s="9">
        <f>4.62+32.15+52.63</f>
        <v>89.4</v>
      </c>
      <c r="K17" s="10">
        <f>4.6+38.1+32.27</f>
        <v>74.97</v>
      </c>
      <c r="L17" s="10">
        <f>4.53+42.35+56.68</f>
        <v>103.56</v>
      </c>
      <c r="M17" s="10">
        <f>4.27+38.81+54.56</f>
        <v>97.64</v>
      </c>
      <c r="N17" s="10">
        <f>4.39+47.07+133.48</f>
        <v>184.94</v>
      </c>
      <c r="O17" s="10">
        <f>64.85+5.15+38.55</f>
        <v>108.55</v>
      </c>
      <c r="P17" s="10">
        <f>5.64+33.92+60.56</f>
        <v>100.12</v>
      </c>
      <c r="Q17" s="10">
        <f>6.11+31.3+72.19</f>
        <v>109.6</v>
      </c>
      <c r="R17" s="10">
        <f>61.97+4.91+39.7</f>
        <v>106.58</v>
      </c>
      <c r="S17" s="10">
        <f>6.31+44.86+65.46</f>
        <v>116.63</v>
      </c>
      <c r="T17" s="10">
        <f>5.79+52.28+103.31</f>
        <v>161.38</v>
      </c>
      <c r="U17" s="19">
        <f>5.97+52.68+43.83</f>
        <v>102.47999999999999</v>
      </c>
      <c r="V17" s="63">
        <f t="shared" si="4"/>
        <v>1355.85</v>
      </c>
      <c r="W17" s="87">
        <f t="shared" si="5"/>
        <v>8754.359999999999</v>
      </c>
    </row>
    <row r="18" spans="1:23" ht="17.25" customHeight="1" thickBot="1">
      <c r="A18" s="48" t="s">
        <v>39</v>
      </c>
      <c r="B18" s="42" t="s">
        <v>9</v>
      </c>
      <c r="C18" s="51">
        <v>5195.81</v>
      </c>
      <c r="D18" s="75">
        <v>10049.49</v>
      </c>
      <c r="E18" s="51">
        <v>12672.8</v>
      </c>
      <c r="F18" s="75">
        <v>13372.3</v>
      </c>
      <c r="G18" s="51">
        <v>13844.3</v>
      </c>
      <c r="H18" s="51">
        <v>14957.8</v>
      </c>
      <c r="I18" s="51">
        <v>13379.48</v>
      </c>
      <c r="J18" s="9">
        <f>1965.15-740.24</f>
        <v>1224.91</v>
      </c>
      <c r="K18" s="10">
        <f>1851.86-715.15</f>
        <v>1136.71</v>
      </c>
      <c r="L18" s="10">
        <f>1932.18-757.54</f>
        <v>1174.64</v>
      </c>
      <c r="M18" s="10">
        <f>1939.09-752.28</f>
        <v>1186.81</v>
      </c>
      <c r="N18" s="10">
        <f>2015.11-821.47</f>
        <v>1193.6399999999999</v>
      </c>
      <c r="O18" s="10">
        <f>1951.93-751.66</f>
        <v>1200.27</v>
      </c>
      <c r="P18" s="10">
        <f>2066.47-730.38</f>
        <v>1336.0899999999997</v>
      </c>
      <c r="Q18" s="10">
        <f>2094.4-873.05</f>
        <v>1221.3500000000001</v>
      </c>
      <c r="R18" s="10">
        <f>1957.61-746.39</f>
        <v>1211.2199999999998</v>
      </c>
      <c r="S18" s="10">
        <f>1975.65-787.32</f>
        <v>1188.33</v>
      </c>
      <c r="T18" s="10">
        <f>2017.9-829.23</f>
        <v>1188.67</v>
      </c>
      <c r="U18" s="19">
        <f>2253.26-1096.58</f>
        <v>1156.6800000000003</v>
      </c>
      <c r="V18" s="62">
        <f t="shared" si="4"/>
        <v>14419.32</v>
      </c>
      <c r="W18" s="86">
        <f t="shared" si="5"/>
        <v>97891.30000000002</v>
      </c>
    </row>
    <row r="19" spans="1:23" ht="15.75" customHeight="1" thickBot="1">
      <c r="A19" s="48" t="s">
        <v>53</v>
      </c>
      <c r="B19" s="43" t="s">
        <v>4</v>
      </c>
      <c r="C19" s="52">
        <v>646.65</v>
      </c>
      <c r="D19" s="76">
        <v>1607.62</v>
      </c>
      <c r="E19" s="52">
        <v>1165.3</v>
      </c>
      <c r="F19" s="76">
        <v>1033.8</v>
      </c>
      <c r="G19" s="52">
        <v>1033.8</v>
      </c>
      <c r="H19" s="52">
        <v>1033.8</v>
      </c>
      <c r="I19" s="52">
        <v>1032.33</v>
      </c>
      <c r="J19" s="11">
        <v>85.66</v>
      </c>
      <c r="K19" s="12">
        <v>85.66</v>
      </c>
      <c r="L19" s="12">
        <v>85.66</v>
      </c>
      <c r="M19" s="12">
        <v>85.66</v>
      </c>
      <c r="N19" s="12">
        <v>85.66</v>
      </c>
      <c r="O19" s="12">
        <v>85.66</v>
      </c>
      <c r="P19" s="12">
        <v>85.66</v>
      </c>
      <c r="Q19" s="12">
        <v>85.66</v>
      </c>
      <c r="R19" s="12">
        <v>85.66</v>
      </c>
      <c r="S19" s="12">
        <v>85.66</v>
      </c>
      <c r="T19" s="12">
        <v>85.66</v>
      </c>
      <c r="U19" s="21">
        <v>85.66</v>
      </c>
      <c r="V19" s="63">
        <f>SUM(J19:U19)</f>
        <v>1027.9199999999998</v>
      </c>
      <c r="W19" s="87">
        <f>SUM(C19:U19)</f>
        <v>8581.22</v>
      </c>
    </row>
    <row r="20" spans="1:23" ht="15.75" customHeight="1" thickBot="1">
      <c r="A20" s="48"/>
      <c r="B20" s="45" t="s">
        <v>57</v>
      </c>
      <c r="C20" s="54"/>
      <c r="D20" s="77"/>
      <c r="E20" s="54"/>
      <c r="F20" s="77"/>
      <c r="G20" s="92">
        <f>G7*5%</f>
        <v>1368.924</v>
      </c>
      <c r="H20" s="92">
        <f>H7*5%</f>
        <v>1368.924</v>
      </c>
      <c r="I20" s="92">
        <f>I7*5%</f>
        <v>1366.316</v>
      </c>
      <c r="J20" s="88">
        <f>J7*5%</f>
        <v>113.42500000000001</v>
      </c>
      <c r="K20" s="67">
        <f aca="true" t="shared" si="6" ref="K20:U20">K7*5%</f>
        <v>113.42500000000001</v>
      </c>
      <c r="L20" s="88">
        <f t="shared" si="6"/>
        <v>113.42500000000001</v>
      </c>
      <c r="M20" s="67">
        <f t="shared" si="6"/>
        <v>113.42500000000001</v>
      </c>
      <c r="N20" s="88">
        <f t="shared" si="6"/>
        <v>113.42500000000001</v>
      </c>
      <c r="O20" s="67">
        <f t="shared" si="6"/>
        <v>113.42500000000001</v>
      </c>
      <c r="P20" s="88">
        <f t="shared" si="6"/>
        <v>113.42500000000001</v>
      </c>
      <c r="Q20" s="67">
        <f t="shared" si="6"/>
        <v>113.42500000000001</v>
      </c>
      <c r="R20" s="88">
        <f t="shared" si="6"/>
        <v>113.42500000000001</v>
      </c>
      <c r="S20" s="67">
        <f t="shared" si="6"/>
        <v>113.42500000000001</v>
      </c>
      <c r="T20" s="88">
        <f t="shared" si="6"/>
        <v>113.42500000000001</v>
      </c>
      <c r="U20" s="67">
        <f t="shared" si="6"/>
        <v>113.42500000000001</v>
      </c>
      <c r="V20" s="67">
        <f>SUM(J20:U20)</f>
        <v>1361.0999999999997</v>
      </c>
      <c r="W20" s="68"/>
    </row>
    <row r="21" spans="1:23" ht="15" customHeight="1" thickBot="1">
      <c r="A21" s="48" t="s">
        <v>40</v>
      </c>
      <c r="B21" s="45" t="s">
        <v>50</v>
      </c>
      <c r="C21" s="54"/>
      <c r="D21" s="77"/>
      <c r="E21" s="54"/>
      <c r="F21" s="77"/>
      <c r="G21" s="54"/>
      <c r="H21" s="54"/>
      <c r="I21" s="54"/>
      <c r="J21" s="89">
        <f>SUM(J7-J10)-J20</f>
        <v>189.9249999999999</v>
      </c>
      <c r="K21" s="67">
        <f>SUM(K7-K10)-K20</f>
        <v>303.21499999999963</v>
      </c>
      <c r="L21" s="89">
        <f aca="true" t="shared" si="7" ref="L21:U21">SUM(L7-L10)-L20</f>
        <v>222.8949999999997</v>
      </c>
      <c r="M21" s="67">
        <f t="shared" si="7"/>
        <v>215.98500000000007</v>
      </c>
      <c r="N21" s="89">
        <f t="shared" si="7"/>
        <v>139.9650000000001</v>
      </c>
      <c r="O21" s="67">
        <f t="shared" si="7"/>
        <v>203.14499999999992</v>
      </c>
      <c r="P21" s="89">
        <f t="shared" si="7"/>
        <v>88.60500000000019</v>
      </c>
      <c r="Q21" s="67">
        <f t="shared" si="7"/>
        <v>60.6749999999999</v>
      </c>
      <c r="R21" s="89">
        <f t="shared" si="7"/>
        <v>197.4650000000001</v>
      </c>
      <c r="S21" s="67">
        <f t="shared" si="7"/>
        <v>179.42500000000013</v>
      </c>
      <c r="T21" s="89">
        <f t="shared" si="7"/>
        <v>137.1749999999999</v>
      </c>
      <c r="U21" s="67">
        <f t="shared" si="7"/>
        <v>-82.68500000000023</v>
      </c>
      <c r="V21" s="82">
        <f>SUM(J21:U21)</f>
        <v>1855.7899999999997</v>
      </c>
      <c r="W21" s="69"/>
    </row>
    <row r="22" spans="1:23" ht="27" customHeight="1" thickBot="1">
      <c r="A22" s="48" t="s">
        <v>41</v>
      </c>
      <c r="B22" s="53" t="s">
        <v>23</v>
      </c>
      <c r="C22" s="53">
        <v>-3042.78</v>
      </c>
      <c r="D22" s="20">
        <f>SUM(D7-D10)</f>
        <v>5699.490000000002</v>
      </c>
      <c r="E22" s="62">
        <f>SUM(E7-E10)</f>
        <v>5003.43</v>
      </c>
      <c r="F22" s="90">
        <f>SUM(F7-F10)</f>
        <v>5401.959999999999</v>
      </c>
      <c r="G22" s="67">
        <f>SUM(G7-G10)-G20</f>
        <v>3336.8860000000013</v>
      </c>
      <c r="H22" s="67">
        <f>SUM(H7-H10)-H20</f>
        <v>951.326</v>
      </c>
      <c r="I22" s="67">
        <f>SUM(I7-I10)-I20</f>
        <v>1676.8439999999962</v>
      </c>
      <c r="J22" s="89">
        <f>SUM(J7-J10)-J20</f>
        <v>189.9249999999999</v>
      </c>
      <c r="K22" s="67">
        <f>SUM(K21+J22)</f>
        <v>493.13999999999953</v>
      </c>
      <c r="L22" s="89">
        <f aca="true" t="shared" si="8" ref="L22:U22">SUM(L21+K22)</f>
        <v>716.0349999999992</v>
      </c>
      <c r="M22" s="67">
        <f t="shared" si="8"/>
        <v>932.0199999999993</v>
      </c>
      <c r="N22" s="89">
        <f t="shared" si="8"/>
        <v>1071.9849999999994</v>
      </c>
      <c r="O22" s="67">
        <f t="shared" si="8"/>
        <v>1275.1299999999994</v>
      </c>
      <c r="P22" s="89">
        <f t="shared" si="8"/>
        <v>1363.7349999999997</v>
      </c>
      <c r="Q22" s="67">
        <f t="shared" si="8"/>
        <v>1424.4099999999996</v>
      </c>
      <c r="R22" s="89">
        <f t="shared" si="8"/>
        <v>1621.8749999999998</v>
      </c>
      <c r="S22" s="67">
        <f t="shared" si="8"/>
        <v>1801.3</v>
      </c>
      <c r="T22" s="89">
        <f t="shared" si="8"/>
        <v>1938.475</v>
      </c>
      <c r="U22" s="67">
        <f t="shared" si="8"/>
        <v>1855.7899999999997</v>
      </c>
      <c r="V22" s="62"/>
      <c r="W22" s="25"/>
    </row>
    <row r="23" spans="1:23" ht="27.75" customHeight="1" hidden="1" thickBot="1">
      <c r="A23" s="48" t="s">
        <v>42</v>
      </c>
      <c r="B23" s="44" t="s">
        <v>24</v>
      </c>
      <c r="C23" s="53">
        <v>-3042.78</v>
      </c>
      <c r="D23" s="20">
        <f>SUM(D7-D10,C23)</f>
        <v>2656.7100000000014</v>
      </c>
      <c r="E23" s="62">
        <f>SUM(E7-E10,D23)</f>
        <v>7660.140000000001</v>
      </c>
      <c r="F23" s="90">
        <f>SUM(F7-F10,E23)</f>
        <v>13062.1</v>
      </c>
      <c r="G23" s="67">
        <f>SUM(G22+F23)</f>
        <v>16398.986</v>
      </c>
      <c r="H23" s="67">
        <f>SUM(H22+G23)</f>
        <v>17350.312</v>
      </c>
      <c r="I23" s="67">
        <f>SUM(I22+H23)</f>
        <v>19027.156</v>
      </c>
      <c r="J23" s="93">
        <f>SUM(J22+I23)</f>
        <v>19217.081</v>
      </c>
      <c r="K23" s="67">
        <f>SUM(K21+J23)</f>
        <v>19520.296</v>
      </c>
      <c r="L23" s="89">
        <f>SUM(L21+K23)-0.01</f>
        <v>19743.181</v>
      </c>
      <c r="M23" s="67">
        <f aca="true" t="shared" si="9" ref="M23:T23">SUM(M21+L23)</f>
        <v>19959.166</v>
      </c>
      <c r="N23" s="89">
        <f t="shared" si="9"/>
        <v>20099.131</v>
      </c>
      <c r="O23" s="67">
        <f t="shared" si="9"/>
        <v>20302.276</v>
      </c>
      <c r="P23" s="89">
        <f t="shared" si="9"/>
        <v>20390.881</v>
      </c>
      <c r="Q23" s="67">
        <f t="shared" si="9"/>
        <v>20451.556</v>
      </c>
      <c r="R23" s="89">
        <f t="shared" si="9"/>
        <v>20649.021</v>
      </c>
      <c r="S23" s="67">
        <f t="shared" si="9"/>
        <v>20828.446</v>
      </c>
      <c r="T23" s="89">
        <f t="shared" si="9"/>
        <v>20965.621</v>
      </c>
      <c r="U23" s="67">
        <f>SUM(U21+T23)+0.06</f>
        <v>20882.996</v>
      </c>
      <c r="V23" s="62"/>
      <c r="W23" s="34"/>
    </row>
    <row r="24" spans="1:23" ht="23.25" hidden="1" thickBot="1">
      <c r="A24" s="48" t="s">
        <v>42</v>
      </c>
      <c r="B24" s="53" t="s">
        <v>7</v>
      </c>
      <c r="C24" s="53"/>
      <c r="D24" s="53"/>
      <c r="E24" s="71"/>
      <c r="F24" s="71"/>
      <c r="G24" s="71"/>
      <c r="H24" s="71"/>
      <c r="I24" s="71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2"/>
      <c r="V24" s="62"/>
      <c r="W24" s="26"/>
    </row>
    <row r="25" spans="1:23" ht="15" customHeight="1" hidden="1" thickBot="1">
      <c r="A25" s="48" t="s">
        <v>43</v>
      </c>
      <c r="B25" s="45" t="s">
        <v>25</v>
      </c>
      <c r="C25" s="54"/>
      <c r="D25" s="54"/>
      <c r="E25" s="70"/>
      <c r="F25" s="70"/>
      <c r="G25" s="70"/>
      <c r="H25" s="70"/>
      <c r="I25" s="7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3"/>
      <c r="V25" s="64"/>
      <c r="W25" s="25"/>
    </row>
    <row r="26" spans="1:23" ht="24" customHeight="1" hidden="1" thickBot="1">
      <c r="A26" s="49" t="s">
        <v>44</v>
      </c>
      <c r="B26" s="46" t="s">
        <v>47</v>
      </c>
      <c r="C26" s="55"/>
      <c r="D26" s="55"/>
      <c r="E26" s="72"/>
      <c r="F26" s="72"/>
      <c r="G26" s="72"/>
      <c r="H26" s="72"/>
      <c r="I26" s="72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>
        <f>SUM(U22-U24)</f>
        <v>1855.7899999999997</v>
      </c>
      <c r="V26" s="65"/>
      <c r="W26" s="33"/>
    </row>
    <row r="27" spans="1:23" ht="24" customHeight="1" hidden="1" thickBot="1">
      <c r="A27" s="49" t="s">
        <v>46</v>
      </c>
      <c r="B27" s="46" t="s">
        <v>26</v>
      </c>
      <c r="C27" s="55"/>
      <c r="D27" s="55"/>
      <c r="E27" s="72"/>
      <c r="F27" s="72"/>
      <c r="G27" s="72"/>
      <c r="H27" s="72"/>
      <c r="I27" s="7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>
        <f>SUM(U23-U24)</f>
        <v>20882.996</v>
      </c>
      <c r="V27" s="65"/>
      <c r="W27" s="33"/>
    </row>
    <row r="28" spans="2:23" ht="12.75" customHeight="1" hidden="1">
      <c r="B28" s="28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30" ht="12.75" hidden="1"/>
    <row r="31" ht="12.75" hidden="1"/>
    <row r="32" ht="12.75" hidden="1"/>
    <row r="33" ht="12.75">
      <c r="B33" t="s">
        <v>65</v>
      </c>
    </row>
    <row r="37" ht="12.75" customHeight="1"/>
    <row r="38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2018-02-02T08:06:51Z</cp:lastPrinted>
  <dcterms:created xsi:type="dcterms:W3CDTF">2011-06-16T11:06:26Z</dcterms:created>
  <dcterms:modified xsi:type="dcterms:W3CDTF">2018-02-12T06:21:39Z</dcterms:modified>
  <cp:category/>
  <cp:version/>
  <cp:contentType/>
  <cp:contentStatus/>
</cp:coreProperties>
</file>