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<sst xmlns="http://schemas.openxmlformats.org/spreadsheetml/2006/main" count="82" uniqueCount="82">
  <si>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</si>
  <si>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</si>
  <si>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</si>
  <si>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</si>
  <si>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</si>
  <si>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</si>
  <si>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</si>
  <si>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</si>
  <si>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</si>
  <si>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</si>
  <si>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</si>
  <si>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</si>
  <si>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</si>
  <si>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</si>
  <si>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</si>
  <si>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</si>
  <si>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</si>
  <si>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</si>
  <si>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</si>
  <si>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</si>
  <si>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</si>
  <si>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</si>
  <si>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</si>
  <si>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</si>
  <si>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</si>
  <si>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</si>
  <si>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</si>
  <si>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</si>
  <si>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</si>
  <si>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</si>
  <si>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</si>
  <si>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</si>
  <si>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</si>
  <si>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</si>
  <si>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</si>
  <si>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</si>
  <si>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</si>
  <si>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</si>
  <si>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</si>
  <si>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</si>
  <si>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</si>
  <si>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</si>
  <si>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6</t>
  </si>
  <si>
    <t>7</t>
  </si>
  <si>
    <t>8</t>
  </si>
  <si>
    <t>9</t>
  </si>
  <si>
    <t>по жилому дому г. Унеча пер.Мира д.10а</t>
  </si>
  <si>
    <t>за 2009 г</t>
  </si>
  <si>
    <t>за 2010 г</t>
  </si>
  <si>
    <t>10</t>
  </si>
  <si>
    <t>Финансовый результат по дому с начала года</t>
  </si>
  <si>
    <t>11</t>
  </si>
  <si>
    <t>Благоустройство  территории</t>
  </si>
  <si>
    <t>Итого за 2011 г</t>
  </si>
  <si>
    <t>Результат за месяц</t>
  </si>
  <si>
    <t>Итого за 2012 г</t>
  </si>
  <si>
    <t xml:space="preserve">Материалы </t>
  </si>
  <si>
    <t>4.12</t>
  </si>
  <si>
    <t>4.14</t>
  </si>
  <si>
    <t>4.15</t>
  </si>
  <si>
    <t>Итого за 2013 г</t>
  </si>
  <si>
    <t xml:space="preserve">%  оплаты </t>
  </si>
  <si>
    <t>Итого за 2014 г</t>
  </si>
  <si>
    <t>рентабельность 5%</t>
  </si>
  <si>
    <t>Итого за 2015</t>
  </si>
  <si>
    <t>Услуги сторонних организаций</t>
  </si>
  <si>
    <t>Тех. обслуживание газопроводов</t>
  </si>
  <si>
    <t>Транспортные(ГСМ,зап.части,амортизация,страхование ит.д.)</t>
  </si>
  <si>
    <t xml:space="preserve">Расходы на управление,аренда, связь </t>
  </si>
  <si>
    <t>4.6</t>
  </si>
  <si>
    <t>Проверка вент.каналов</t>
  </si>
  <si>
    <t>Исполнитель вед. экономист  /Викторова Л.С./</t>
  </si>
  <si>
    <t xml:space="preserve">Услуги агентские,охрана труда,отопление, хол.вода, эл.энегрия   </t>
  </si>
  <si>
    <t>Итого за 2016</t>
  </si>
  <si>
    <t>Дом по  пер.Мира д.10а вступил в ООО "Наш дом" с октября 2009 года                             тариф 10,35  руб</t>
  </si>
  <si>
    <t>Итого за 2017</t>
  </si>
  <si>
    <t>Всего за 2009-2017</t>
  </si>
  <si>
    <t>Начислено СОИД</t>
  </si>
  <si>
    <t>Электроэнергия СОИД</t>
  </si>
  <si>
    <t>Начислено  нежилые</t>
  </si>
  <si>
    <t>Горячая вода СОИД</t>
  </si>
  <si>
    <t xml:space="preserve">Электроэнергия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</si>
</sst>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2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4" fillId="0" borderId="27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7" xfId="0" applyFont="1" applyBorder="1" applyAlignment="1">
      <alignment horizontal="left" vertical="center" wrapText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2" borderId="38" xfId="0" applyFont="1" applyFill="1" applyBorder="1" applyAlignment="1">
      <alignment wrapText="1"/>
    </xf>
    <xf numFmtId="0" fontId="21" fillId="0" borderId="39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49" fontId="0" fillId="0" borderId="38" xfId="0" applyNumberForma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2" borderId="27" xfId="0" applyFill="1" applyBorder="1" applyAlignment="1">
      <alignment/>
    </xf>
    <xf numFmtId="0" fontId="19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38" xfId="0" applyFont="1" applyBorder="1" applyAlignment="1">
      <alignment/>
    </xf>
    <xf numFmtId="0" fontId="20" fillId="2" borderId="38" xfId="0" applyFont="1" applyFill="1" applyBorder="1" applyAlignment="1">
      <alignment/>
    </xf>
    <xf numFmtId="1" fontId="20" fillId="0" borderId="34" xfId="0" applyNumberFormat="1" applyFont="1" applyBorder="1" applyAlignment="1">
      <alignment horizontal="center"/>
    </xf>
    <xf numFmtId="0" fontId="21" fillId="0" borderId="42" xfId="0" applyFont="1" applyBorder="1" applyAlignment="1">
      <alignment wrapText="1"/>
    </xf>
    <xf numFmtId="2" fontId="26" fillId="0" borderId="27" xfId="0" applyNumberFormat="1" applyFont="1" applyBorder="1" applyAlignment="1">
      <alignment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0" fontId="21" fillId="0" borderId="45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27" fillId="0" borderId="41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32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7" fillId="0" borderId="45" xfId="0" applyFont="1" applyBorder="1" applyAlignment="1">
      <alignment wrapText="1"/>
    </xf>
    <xf numFmtId="1" fontId="21" fillId="0" borderId="34" xfId="0" applyNumberFormat="1" applyFont="1" applyBorder="1" applyAlignment="1">
      <alignment horizontal="center"/>
    </xf>
    <xf numFmtId="2" fontId="21" fillId="0" borderId="41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37" xfId="0" applyNumberFormat="1" applyFont="1" applyBorder="1" applyAlignment="1">
      <alignment wrapText="1"/>
    </xf>
    <xf numFmtId="0" fontId="26" fillId="0" borderId="32" xfId="0" applyFont="1" applyBorder="1" applyAlignment="1">
      <alignment/>
    </xf>
    <xf numFmtId="0" fontId="26" fillId="0" borderId="41" xfId="0" applyFont="1" applyBorder="1" applyAlignment="1">
      <alignment/>
    </xf>
    <xf numFmtId="1" fontId="26" fillId="0" borderId="34" xfId="0" applyNumberFormat="1" applyFont="1" applyBorder="1" applyAlignment="1">
      <alignment horizontal="center"/>
    </xf>
    <xf numFmtId="0" fontId="26" fillId="0" borderId="27" xfId="0" applyFont="1" applyBorder="1" applyAlignment="1">
      <alignment/>
    </xf>
    <xf numFmtId="2" fontId="26" fillId="0" borderId="42" xfId="0" applyNumberFormat="1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7" fillId="0" borderId="44" xfId="0" applyFont="1" applyBorder="1" applyAlignment="1">
      <alignment wrapText="1"/>
    </xf>
    <xf numFmtId="2" fontId="21" fillId="0" borderId="39" xfId="0" applyNumberFormat="1" applyFont="1" applyBorder="1" applyAlignment="1">
      <alignment wrapText="1"/>
    </xf>
    <xf numFmtId="2" fontId="21" fillId="0" borderId="39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9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3">
      <selection activeCell="N48" sqref="N48"/>
    </sheetView>
  </sheetViews>
  <sheetFormatPr defaultColWidth="9.00390625" defaultRowHeight="12.75"/>
  <cols>
    <col min="1" max="1" width="4.25390625" style="27" customWidth="1"/>
    <col min="2" max="2" width="23.875" style="0" customWidth="1"/>
    <col min="3" max="3" width="7.375" style="0" hidden="1" customWidth="1"/>
    <col min="4" max="4" width="8.125" style="0" hidden="1" customWidth="1"/>
    <col min="5" max="5" width="12.875" style="0" hidden="1" customWidth="1"/>
    <col min="6" max="6" width="10.75390625" style="0" hidden="1" customWidth="1"/>
    <col min="7" max="7" width="10.875" style="0" hidden="1" customWidth="1"/>
    <col min="8" max="8" width="9.125" style="0" hidden="1" customWidth="1"/>
    <col min="9" max="9" width="10.00390625" style="0" hidden="1" customWidth="1"/>
    <col min="10" max="10" width="9.125" style="0" hidden="1" customWidth="1"/>
    <col min="11" max="11" width="7.75390625" style="0" customWidth="1"/>
    <col min="12" max="12" width="9.00390625" style="0" customWidth="1"/>
    <col min="13" max="14" width="7.875" style="0" customWidth="1"/>
    <col min="15" max="15" width="8.125" style="0" customWidth="1"/>
    <col min="16" max="16" width="7.75390625" style="0" customWidth="1"/>
    <col min="17" max="17" width="8.75390625" style="0" customWidth="1"/>
    <col min="18" max="18" width="8.625" style="0" customWidth="1"/>
    <col min="19" max="19" width="7.875" style="0" customWidth="1"/>
    <col min="20" max="20" width="8.75390625" style="0" customWidth="1"/>
    <col min="21" max="21" width="8.25390625" style="0" customWidth="1"/>
    <col min="22" max="22" width="7.75390625" style="0" customWidth="1"/>
    <col min="23" max="23" width="10.875" style="0" customWidth="1"/>
    <col min="24" max="24" width="0.12890625" style="0" customWidth="1"/>
  </cols>
  <sheetData>
    <row r="1" spans="2:29" ht="12.75" customHeight="1">
      <c r="B1" s="110" t="s">
        <v>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10" t="s">
        <v>74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59"/>
      <c r="X2" s="4"/>
      <c r="Y2" s="4"/>
      <c r="Z2" s="4"/>
      <c r="AA2" s="4"/>
      <c r="AB2" s="4"/>
      <c r="AC2" s="4"/>
    </row>
    <row r="3" spans="2:29" ht="12.7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3"/>
      <c r="Z3" s="3"/>
      <c r="AA3" s="3"/>
      <c r="AB3" s="3"/>
      <c r="AC3" s="3"/>
    </row>
    <row r="4" spans="2:29" ht="11.25" customHeight="1">
      <c r="B4" s="108" t="s">
        <v>11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2"/>
      <c r="Z4" s="2"/>
      <c r="AA4" s="2"/>
      <c r="AB4" s="2"/>
      <c r="AC4" s="2"/>
    </row>
    <row r="5" spans="2:29" ht="15.75" customHeight="1" thickBot="1">
      <c r="B5" s="108" t="s">
        <v>46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3" customHeight="1" thickBot="1">
      <c r="A7" s="39" t="s">
        <v>28</v>
      </c>
      <c r="B7" s="28" t="s">
        <v>7</v>
      </c>
      <c r="C7" s="42" t="s">
        <v>47</v>
      </c>
      <c r="D7" s="48" t="s">
        <v>48</v>
      </c>
      <c r="E7" s="69" t="s">
        <v>53</v>
      </c>
      <c r="F7" s="69" t="s">
        <v>55</v>
      </c>
      <c r="G7" s="69" t="s">
        <v>60</v>
      </c>
      <c r="H7" s="69" t="s">
        <v>62</v>
      </c>
      <c r="I7" s="103" t="s">
        <v>64</v>
      </c>
      <c r="J7" s="102" t="s">
        <v>73</v>
      </c>
      <c r="K7" s="99" t="s">
        <v>12</v>
      </c>
      <c r="L7" s="100" t="s">
        <v>13</v>
      </c>
      <c r="M7" s="100" t="s">
        <v>14</v>
      </c>
      <c r="N7" s="100" t="s">
        <v>15</v>
      </c>
      <c r="O7" s="100" t="s">
        <v>16</v>
      </c>
      <c r="P7" s="100" t="s">
        <v>17</v>
      </c>
      <c r="Q7" s="100" t="s">
        <v>18</v>
      </c>
      <c r="R7" s="100" t="s">
        <v>19</v>
      </c>
      <c r="S7" s="100" t="s">
        <v>20</v>
      </c>
      <c r="T7" s="100" t="s">
        <v>21</v>
      </c>
      <c r="U7" s="100" t="s">
        <v>23</v>
      </c>
      <c r="V7" s="101" t="s">
        <v>22</v>
      </c>
      <c r="W7" s="69" t="s">
        <v>75</v>
      </c>
      <c r="X7" s="64" t="s">
        <v>76</v>
      </c>
      <c r="Y7" s="1"/>
      <c r="Z7" s="1"/>
      <c r="AA7" s="1"/>
      <c r="AB7" s="1"/>
      <c r="AC7" s="1"/>
    </row>
    <row r="8" spans="1:24" ht="13.5" thickBot="1">
      <c r="A8" s="40" t="s">
        <v>29</v>
      </c>
      <c r="B8" s="29" t="s">
        <v>1</v>
      </c>
      <c r="C8" s="82">
        <v>112483.8</v>
      </c>
      <c r="D8" s="83">
        <v>446231.28</v>
      </c>
      <c r="E8" s="84">
        <v>450302.28</v>
      </c>
      <c r="F8" s="85">
        <v>451036.44</v>
      </c>
      <c r="G8" s="85">
        <v>451524.96</v>
      </c>
      <c r="H8" s="83">
        <v>451745.76</v>
      </c>
      <c r="I8" s="104">
        <v>451831.32</v>
      </c>
      <c r="J8" s="85">
        <v>493825.53</v>
      </c>
      <c r="K8" s="5">
        <v>42036.73</v>
      </c>
      <c r="L8" s="6">
        <v>42036.73</v>
      </c>
      <c r="M8" s="6">
        <v>42036.73</v>
      </c>
      <c r="N8" s="6">
        <v>42036.73</v>
      </c>
      <c r="O8" s="6">
        <v>42036.73</v>
      </c>
      <c r="P8" s="6">
        <v>42036.73</v>
      </c>
      <c r="Q8" s="6">
        <v>42036.73</v>
      </c>
      <c r="R8" s="6">
        <v>42036.73</v>
      </c>
      <c r="S8" s="6">
        <v>42036.73</v>
      </c>
      <c r="T8" s="6">
        <v>42047.08</v>
      </c>
      <c r="U8" s="6">
        <v>42047.08</v>
      </c>
      <c r="V8" s="15">
        <v>42047.08</v>
      </c>
      <c r="W8" s="70">
        <f>SUM(K8:V8)</f>
        <v>504471.81000000006</v>
      </c>
      <c r="X8" s="94">
        <f>SUM(C8:V8)</f>
        <v>3813453.18</v>
      </c>
    </row>
    <row r="9" spans="1:24" ht="13.5" thickBot="1">
      <c r="A9" s="40"/>
      <c r="B9" s="29" t="s">
        <v>77</v>
      </c>
      <c r="C9" s="82"/>
      <c r="D9" s="83"/>
      <c r="E9" s="104"/>
      <c r="F9" s="83"/>
      <c r="G9" s="83"/>
      <c r="H9" s="83"/>
      <c r="I9" s="104"/>
      <c r="J9" s="83"/>
      <c r="K9" s="5">
        <f>3132.68+112.56+674.68+280.6</f>
        <v>4200.5199999999995</v>
      </c>
      <c r="L9" s="6">
        <f>3085.98+110.88+664.62</f>
        <v>3861.48</v>
      </c>
      <c r="M9" s="6">
        <f>3109.33+111.72+669.65</f>
        <v>3890.7</v>
      </c>
      <c r="N9" s="6">
        <f>3109.33+111.72+669.65</f>
        <v>3890.7</v>
      </c>
      <c r="O9" s="6">
        <f>3109.33+111.72+669.65</f>
        <v>3890.7</v>
      </c>
      <c r="P9" s="6">
        <f>3494.83+105.98+117.59+460.35</f>
        <v>4178.75</v>
      </c>
      <c r="Q9" s="6">
        <f>953.54+106.94+119.04+476.25</f>
        <v>1655.77</v>
      </c>
      <c r="R9" s="6">
        <f>2224.01+106.94+119.04+476.25</f>
        <v>2926.2400000000002</v>
      </c>
      <c r="S9" s="6">
        <f>2224.01+106.94+119.04+476.25</f>
        <v>2926.2400000000002</v>
      </c>
      <c r="T9" s="6">
        <f>2240.77+107.71+119.93+479.79</f>
        <v>2948.2</v>
      </c>
      <c r="U9" s="6">
        <f>2240.77+107.71+119.93+479.79</f>
        <v>2948.2</v>
      </c>
      <c r="V9" s="15">
        <f>2240.77+107.71+119.93+479.79</f>
        <v>2948.2</v>
      </c>
      <c r="W9" s="70">
        <f>SUM(K9:V9)</f>
        <v>40265.7</v>
      </c>
      <c r="X9" s="94">
        <f>SUM(C9:V9)</f>
        <v>40265.7</v>
      </c>
    </row>
    <row r="10" spans="1:24" ht="12.75">
      <c r="A10" s="40"/>
      <c r="B10" s="29" t="s">
        <v>79</v>
      </c>
      <c r="C10" s="82"/>
      <c r="D10" s="83"/>
      <c r="E10" s="104"/>
      <c r="F10" s="83"/>
      <c r="G10" s="83"/>
      <c r="H10" s="83"/>
      <c r="I10" s="104"/>
      <c r="J10" s="83"/>
      <c r="K10" s="5"/>
      <c r="L10" s="6">
        <v>309.82</v>
      </c>
      <c r="M10" s="6">
        <v>309.82</v>
      </c>
      <c r="N10" s="6">
        <v>309.82</v>
      </c>
      <c r="O10" s="6">
        <v>309.82</v>
      </c>
      <c r="P10" s="6">
        <v>312.07</v>
      </c>
      <c r="Q10" s="6">
        <v>306.51</v>
      </c>
      <c r="R10" s="6">
        <v>306.51</v>
      </c>
      <c r="S10" s="6">
        <v>306.51</v>
      </c>
      <c r="T10" s="6">
        <v>306.51</v>
      </c>
      <c r="U10" s="6">
        <v>306.51</v>
      </c>
      <c r="V10" s="15">
        <v>306.51</v>
      </c>
      <c r="W10" s="70">
        <f>SUM(K10:V10)</f>
        <v>3390.4100000000008</v>
      </c>
      <c r="X10" s="94">
        <f>SUM(C10:V10)</f>
        <v>3390.4100000000008</v>
      </c>
    </row>
    <row r="11" spans="1:24" ht="12.75">
      <c r="A11" s="40" t="s">
        <v>30</v>
      </c>
      <c r="B11" s="30" t="s">
        <v>2</v>
      </c>
      <c r="C11" s="86">
        <v>59100.97</v>
      </c>
      <c r="D11" s="87">
        <v>396861.76</v>
      </c>
      <c r="E11" s="88">
        <v>436813.59</v>
      </c>
      <c r="F11" s="87">
        <v>428793.95</v>
      </c>
      <c r="G11" s="87">
        <v>423443.3</v>
      </c>
      <c r="H11" s="87">
        <v>437596.25</v>
      </c>
      <c r="I11" s="88">
        <v>498213.6</v>
      </c>
      <c r="J11" s="87">
        <v>480443.13</v>
      </c>
      <c r="K11" s="7">
        <v>38369.37</v>
      </c>
      <c r="L11" s="8">
        <v>44660.34</v>
      </c>
      <c r="M11" s="8">
        <v>43874.96</v>
      </c>
      <c r="N11" s="8">
        <v>46461.46</v>
      </c>
      <c r="O11" s="8">
        <v>43944.09</v>
      </c>
      <c r="P11" s="8">
        <v>43881.64</v>
      </c>
      <c r="Q11" s="8">
        <v>47633.51</v>
      </c>
      <c r="R11" s="8">
        <v>41960.54</v>
      </c>
      <c r="S11" s="8">
        <v>43119.18</v>
      </c>
      <c r="T11" s="8">
        <v>44565.55</v>
      </c>
      <c r="U11" s="8">
        <v>45140.28</v>
      </c>
      <c r="V11" s="16">
        <v>42205.49</v>
      </c>
      <c r="W11" s="70">
        <f>SUM(K11:V11)</f>
        <v>525816.4099999999</v>
      </c>
      <c r="X11" s="95">
        <f>SUM(C11:V11)</f>
        <v>3687082.96</v>
      </c>
    </row>
    <row r="12" spans="1:24" ht="15" customHeight="1" thickBot="1">
      <c r="A12" s="40" t="s">
        <v>31</v>
      </c>
      <c r="B12" s="31" t="s">
        <v>61</v>
      </c>
      <c r="C12" s="61">
        <f aca="true" t="shared" si="0" ref="C12:X12">SUM(C11/C8*100)</f>
        <v>52.54176156922152</v>
      </c>
      <c r="D12" s="62">
        <f t="shared" si="0"/>
        <v>88.93633812492929</v>
      </c>
      <c r="E12" s="61">
        <f t="shared" si="0"/>
        <v>97.00452549340855</v>
      </c>
      <c r="F12" s="62">
        <f t="shared" si="0"/>
        <v>95.06858248526439</v>
      </c>
      <c r="G12" s="89">
        <f t="shared" si="0"/>
        <v>93.7807070510565</v>
      </c>
      <c r="H12" s="89">
        <f t="shared" si="0"/>
        <v>96.86781564922711</v>
      </c>
      <c r="I12" s="61">
        <f t="shared" si="0"/>
        <v>110.26539727259279</v>
      </c>
      <c r="J12" s="62">
        <f t="shared" si="0"/>
        <v>97.29005505243926</v>
      </c>
      <c r="K12" s="21">
        <f t="shared" si="0"/>
        <v>91.27581997933711</v>
      </c>
      <c r="L12" s="21">
        <f t="shared" si="0"/>
        <v>106.24123236988223</v>
      </c>
      <c r="M12" s="21">
        <f t="shared" si="0"/>
        <v>104.37291387793483</v>
      </c>
      <c r="N12" s="21">
        <f t="shared" si="0"/>
        <v>110.52586630786931</v>
      </c>
      <c r="O12" s="21">
        <f t="shared" si="0"/>
        <v>104.53736529934655</v>
      </c>
      <c r="P12" s="21">
        <f t="shared" si="0"/>
        <v>104.38880474289982</v>
      </c>
      <c r="Q12" s="21">
        <f t="shared" si="0"/>
        <v>113.31402323634592</v>
      </c>
      <c r="R12" s="21">
        <f t="shared" si="0"/>
        <v>99.81875374226301</v>
      </c>
      <c r="S12" s="21">
        <f t="shared" si="0"/>
        <v>102.57500999720956</v>
      </c>
      <c r="T12" s="21">
        <f t="shared" si="0"/>
        <v>105.98964303823237</v>
      </c>
      <c r="U12" s="21">
        <f t="shared" si="0"/>
        <v>107.35651560108334</v>
      </c>
      <c r="V12" s="61">
        <f t="shared" si="0"/>
        <v>100.37674435418582</v>
      </c>
      <c r="W12" s="74">
        <f t="shared" si="0"/>
        <v>104.2310788386768</v>
      </c>
      <c r="X12" s="96">
        <f t="shared" si="0"/>
        <v>96.68619977655001</v>
      </c>
    </row>
    <row r="13" spans="1:24" ht="13.5" thickBot="1">
      <c r="A13" s="40" t="s">
        <v>32</v>
      </c>
      <c r="B13" s="32" t="s">
        <v>3</v>
      </c>
      <c r="C13" s="17">
        <v>67863.14</v>
      </c>
      <c r="D13" s="63">
        <f aca="true" t="shared" si="1" ref="D13:K13">SUM(D14:D28)</f>
        <v>339945.61</v>
      </c>
      <c r="E13" s="17">
        <f t="shared" si="1"/>
        <v>414078.07</v>
      </c>
      <c r="F13" s="63">
        <f t="shared" si="1"/>
        <v>450443.37</v>
      </c>
      <c r="G13" s="63">
        <f t="shared" si="1"/>
        <v>492572.19999999995</v>
      </c>
      <c r="H13" s="63">
        <f t="shared" si="1"/>
        <v>418204.50999999995</v>
      </c>
      <c r="I13" s="17">
        <f>SUM(I14:I28)</f>
        <v>562775.7800000001</v>
      </c>
      <c r="J13" s="63">
        <f>SUM(J14:J28)</f>
        <v>449145.76999999996</v>
      </c>
      <c r="K13" s="11">
        <f t="shared" si="1"/>
        <v>38587.560000000005</v>
      </c>
      <c r="L13" s="11">
        <f aca="true" t="shared" si="2" ref="L13:V13">SUM(L14:L28)</f>
        <v>34433.5</v>
      </c>
      <c r="M13" s="11">
        <f t="shared" si="2"/>
        <v>37676.47</v>
      </c>
      <c r="N13" s="11">
        <f t="shared" si="2"/>
        <v>36956.78</v>
      </c>
      <c r="O13" s="11">
        <f t="shared" si="2"/>
        <v>39205.74999999999</v>
      </c>
      <c r="P13" s="11">
        <f t="shared" si="2"/>
        <v>37180.66999999999</v>
      </c>
      <c r="Q13" s="11">
        <f t="shared" si="2"/>
        <v>42113.05999999999</v>
      </c>
      <c r="R13" s="11">
        <f t="shared" si="2"/>
        <v>50049.37</v>
      </c>
      <c r="S13" s="11">
        <f t="shared" si="2"/>
        <v>36935.46</v>
      </c>
      <c r="T13" s="11">
        <f t="shared" si="2"/>
        <v>38521.48999999999</v>
      </c>
      <c r="U13" s="11">
        <f t="shared" si="2"/>
        <v>46038.03999999999</v>
      </c>
      <c r="V13" s="17">
        <f t="shared" si="2"/>
        <v>35633.079999999994</v>
      </c>
      <c r="W13" s="71">
        <f>SUM(K13:V13)</f>
        <v>473331.23</v>
      </c>
      <c r="X13" s="97">
        <f>SUM(C13:V13)</f>
        <v>3668359.6800000006</v>
      </c>
    </row>
    <row r="14" spans="1:24" ht="13.5" thickBot="1">
      <c r="A14" s="40" t="s">
        <v>33</v>
      </c>
      <c r="B14" s="33" t="s">
        <v>5</v>
      </c>
      <c r="C14" s="55"/>
      <c r="D14" s="56">
        <v>66194.37</v>
      </c>
      <c r="E14" s="77">
        <v>81214.51</v>
      </c>
      <c r="F14" s="56">
        <v>82975.44</v>
      </c>
      <c r="G14" s="56">
        <v>92247.52</v>
      </c>
      <c r="H14" s="56">
        <v>100430.49</v>
      </c>
      <c r="I14" s="77">
        <v>92364.08</v>
      </c>
      <c r="J14" s="56">
        <v>92219.59</v>
      </c>
      <c r="K14" s="5">
        <f>7367+91.67</f>
        <v>7458.67</v>
      </c>
      <c r="L14" s="6">
        <f>7261+422.31</f>
        <v>7683.31</v>
      </c>
      <c r="M14" s="6">
        <f>7155+244.66</f>
        <v>7399.66</v>
      </c>
      <c r="N14" s="6">
        <f>7155+775.33</f>
        <v>7930.33</v>
      </c>
      <c r="O14" s="6">
        <f>7155+387</f>
        <v>7542</v>
      </c>
      <c r="P14" s="6">
        <f>7102+234.95</f>
        <v>7336.95</v>
      </c>
      <c r="Q14" s="6">
        <f>7049+367.6</f>
        <v>7416.6</v>
      </c>
      <c r="R14" s="6">
        <f>7049+427.43</f>
        <v>7476.43</v>
      </c>
      <c r="S14" s="6">
        <f>6996+439.07</f>
        <v>7435.07</v>
      </c>
      <c r="T14" s="6">
        <f>6943+453.26</f>
        <v>7396.26</v>
      </c>
      <c r="U14" s="6">
        <f>6943+396.12</f>
        <v>7339.12</v>
      </c>
      <c r="V14" s="15">
        <f>6943+396.85</f>
        <v>7339.85</v>
      </c>
      <c r="W14" s="63">
        <f aca="true" t="shared" si="3" ref="W14:W30">SUM(K14:V14)</f>
        <v>89754.24999999999</v>
      </c>
      <c r="X14" s="98">
        <f>SUM(C14:V14)</f>
        <v>697400.25</v>
      </c>
    </row>
    <row r="15" spans="1:24" ht="15" customHeight="1" thickBot="1">
      <c r="A15" s="40" t="s">
        <v>34</v>
      </c>
      <c r="B15" s="34" t="s">
        <v>65</v>
      </c>
      <c r="C15" s="57"/>
      <c r="D15" s="58">
        <v>111862.94</v>
      </c>
      <c r="E15" s="78">
        <v>40725.94</v>
      </c>
      <c r="F15" s="58">
        <v>27786.64</v>
      </c>
      <c r="G15" s="58">
        <v>19319.61</v>
      </c>
      <c r="H15" s="58">
        <v>6262.57</v>
      </c>
      <c r="I15" s="78">
        <v>80175.06</v>
      </c>
      <c r="J15" s="58">
        <v>4492.93</v>
      </c>
      <c r="K15" s="7"/>
      <c r="L15" s="8"/>
      <c r="M15" s="8"/>
      <c r="N15" s="8"/>
      <c r="O15" s="8">
        <v>1168</v>
      </c>
      <c r="P15" s="8"/>
      <c r="Q15" s="8"/>
      <c r="R15" s="8"/>
      <c r="S15" s="8"/>
      <c r="T15" s="8"/>
      <c r="U15" s="8">
        <v>2000</v>
      </c>
      <c r="V15" s="16"/>
      <c r="W15" s="63">
        <f t="shared" si="3"/>
        <v>3168</v>
      </c>
      <c r="X15" s="76">
        <f aca="true" t="shared" si="4" ref="X15:X28">SUM(C15:V15)</f>
        <v>293793.69</v>
      </c>
    </row>
    <row r="16" spans="1:24" ht="12.75" customHeight="1" thickBot="1">
      <c r="A16" s="40" t="s">
        <v>35</v>
      </c>
      <c r="B16" s="34" t="s">
        <v>56</v>
      </c>
      <c r="C16" s="57"/>
      <c r="D16" s="58">
        <v>19779.27</v>
      </c>
      <c r="E16" s="78">
        <v>27940.98</v>
      </c>
      <c r="F16" s="58">
        <v>58065.81</v>
      </c>
      <c r="G16" s="58">
        <v>93165.24</v>
      </c>
      <c r="H16" s="58">
        <v>25337.49</v>
      </c>
      <c r="I16" s="78">
        <v>33450.89</v>
      </c>
      <c r="J16" s="58">
        <v>34204.92</v>
      </c>
      <c r="K16" s="7">
        <v>1502.51</v>
      </c>
      <c r="L16" s="8"/>
      <c r="M16" s="8"/>
      <c r="N16" s="8">
        <v>150</v>
      </c>
      <c r="O16" s="8">
        <v>150</v>
      </c>
      <c r="P16" s="8">
        <v>90</v>
      </c>
      <c r="Q16" s="8">
        <f>1406.15+606.67</f>
        <v>2012.8200000000002</v>
      </c>
      <c r="R16" s="8">
        <f>11031+95</f>
        <v>11126</v>
      </c>
      <c r="S16" s="8">
        <f>574+570</f>
        <v>1144</v>
      </c>
      <c r="T16" s="8">
        <v>1580</v>
      </c>
      <c r="U16" s="8">
        <f>5292.25+913.03</f>
        <v>6205.28</v>
      </c>
      <c r="V16" s="16">
        <f>75+330</f>
        <v>405</v>
      </c>
      <c r="W16" s="71">
        <f t="shared" si="3"/>
        <v>24365.61</v>
      </c>
      <c r="X16" s="76">
        <f t="shared" si="4"/>
        <v>316310.21</v>
      </c>
    </row>
    <row r="17" spans="1:24" ht="12" customHeight="1" thickBot="1">
      <c r="A17" s="40" t="s">
        <v>36</v>
      </c>
      <c r="B17" s="34" t="s">
        <v>70</v>
      </c>
      <c r="C17" s="57"/>
      <c r="D17" s="58"/>
      <c r="E17" s="78"/>
      <c r="F17" s="58"/>
      <c r="G17" s="58"/>
      <c r="H17" s="58"/>
      <c r="I17" s="78">
        <v>1400</v>
      </c>
      <c r="J17" s="58">
        <v>4600</v>
      </c>
      <c r="K17" s="7"/>
      <c r="L17" s="8"/>
      <c r="M17" s="8"/>
      <c r="N17" s="8"/>
      <c r="O17" s="8"/>
      <c r="P17" s="8"/>
      <c r="Q17" s="8">
        <v>3700</v>
      </c>
      <c r="R17" s="8"/>
      <c r="S17" s="8"/>
      <c r="T17" s="8"/>
      <c r="U17" s="8"/>
      <c r="V17" s="16"/>
      <c r="W17" s="63">
        <f t="shared" si="3"/>
        <v>3700</v>
      </c>
      <c r="X17" s="76">
        <f t="shared" si="4"/>
        <v>9700</v>
      </c>
    </row>
    <row r="18" spans="1:24" ht="21" customHeight="1" thickBot="1">
      <c r="A18" s="40" t="s">
        <v>69</v>
      </c>
      <c r="B18" s="34" t="s">
        <v>66</v>
      </c>
      <c r="C18" s="57"/>
      <c r="D18" s="58"/>
      <c r="E18" s="78">
        <v>4840.24</v>
      </c>
      <c r="F18" s="58"/>
      <c r="G18" s="58"/>
      <c r="H18" s="58"/>
      <c r="I18" s="78">
        <v>15804.3</v>
      </c>
      <c r="J18" s="58">
        <v>0</v>
      </c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16"/>
      <c r="W18" s="63">
        <f>SUM(K18:V18)</f>
        <v>0</v>
      </c>
      <c r="X18" s="76">
        <f>SUM(C18:V18)</f>
        <v>20644.54</v>
      </c>
    </row>
    <row r="19" spans="1:24" ht="16.5" customHeight="1" thickBot="1">
      <c r="A19" s="40" t="s">
        <v>37</v>
      </c>
      <c r="B19" s="34" t="s">
        <v>52</v>
      </c>
      <c r="C19" s="57"/>
      <c r="D19" s="58">
        <v>0</v>
      </c>
      <c r="E19" s="78">
        <v>5150.22</v>
      </c>
      <c r="F19" s="58">
        <v>256</v>
      </c>
      <c r="G19" s="58">
        <v>0</v>
      </c>
      <c r="H19" s="58">
        <v>722.62</v>
      </c>
      <c r="I19" s="78">
        <v>11250</v>
      </c>
      <c r="J19" s="58">
        <v>51</v>
      </c>
      <c r="K19" s="7">
        <v>268.15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16">
        <v>330.16</v>
      </c>
      <c r="W19" s="63">
        <f t="shared" si="3"/>
        <v>598.31</v>
      </c>
      <c r="X19" s="98">
        <f t="shared" si="4"/>
        <v>18028.15</v>
      </c>
    </row>
    <row r="20" spans="1:24" ht="10.5" customHeight="1" thickBot="1">
      <c r="A20" s="40" t="s">
        <v>38</v>
      </c>
      <c r="B20" s="34" t="s">
        <v>81</v>
      </c>
      <c r="C20" s="57"/>
      <c r="D20" s="58">
        <v>8923.6</v>
      </c>
      <c r="E20" s="78">
        <v>10720.09</v>
      </c>
      <c r="F20" s="58">
        <v>6040.74</v>
      </c>
      <c r="G20" s="58">
        <v>0</v>
      </c>
      <c r="H20" s="58"/>
      <c r="I20" s="78">
        <v>0</v>
      </c>
      <c r="J20" s="58">
        <v>0</v>
      </c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16"/>
      <c r="W20" s="63">
        <f t="shared" si="3"/>
        <v>0</v>
      </c>
      <c r="X20" s="76">
        <f t="shared" si="4"/>
        <v>25684.43</v>
      </c>
    </row>
    <row r="21" spans="1:24" ht="11.25" customHeight="1" thickBot="1">
      <c r="A21" s="40"/>
      <c r="B21" s="34" t="s">
        <v>78</v>
      </c>
      <c r="C21" s="57"/>
      <c r="D21" s="58"/>
      <c r="E21" s="78"/>
      <c r="F21" s="58"/>
      <c r="G21" s="58"/>
      <c r="H21" s="58"/>
      <c r="I21" s="78"/>
      <c r="J21" s="58"/>
      <c r="K21" s="7">
        <v>3132.68</v>
      </c>
      <c r="L21" s="8">
        <v>3085.98</v>
      </c>
      <c r="M21" s="8">
        <v>3109.33</v>
      </c>
      <c r="N21" s="8">
        <v>3109.33</v>
      </c>
      <c r="O21" s="8">
        <v>3109.33</v>
      </c>
      <c r="P21" s="8">
        <v>3494.83</v>
      </c>
      <c r="Q21" s="8">
        <v>953.54</v>
      </c>
      <c r="R21" s="8">
        <v>2224.01</v>
      </c>
      <c r="S21" s="8">
        <v>2224.01</v>
      </c>
      <c r="T21" s="8">
        <v>2240.77</v>
      </c>
      <c r="U21" s="8">
        <v>2240.77</v>
      </c>
      <c r="V21" s="16">
        <v>2240.77</v>
      </c>
      <c r="W21" s="63">
        <f>SUM(K21:V21)</f>
        <v>31165.350000000002</v>
      </c>
      <c r="X21" s="76">
        <f>SUM(C21:V21)</f>
        <v>31165.350000000002</v>
      </c>
    </row>
    <row r="22" spans="1:24" ht="15" customHeight="1" thickBot="1">
      <c r="A22" s="40"/>
      <c r="B22" s="34" t="s">
        <v>80</v>
      </c>
      <c r="C22" s="57"/>
      <c r="D22" s="58"/>
      <c r="E22" s="78"/>
      <c r="F22" s="58"/>
      <c r="G22" s="58"/>
      <c r="H22" s="58"/>
      <c r="I22" s="78"/>
      <c r="J22" s="58"/>
      <c r="K22" s="7"/>
      <c r="L22" s="8"/>
      <c r="M22" s="8">
        <f>1349.28+674.64</f>
        <v>2023.92</v>
      </c>
      <c r="N22" s="8">
        <v>674.64</v>
      </c>
      <c r="O22" s="8">
        <v>674.64</v>
      </c>
      <c r="P22" s="8">
        <v>420.69</v>
      </c>
      <c r="Q22" s="8">
        <v>293.8</v>
      </c>
      <c r="R22" s="8">
        <v>476.25</v>
      </c>
      <c r="S22" s="8">
        <v>476.86</v>
      </c>
      <c r="T22" s="8">
        <v>479.86</v>
      </c>
      <c r="U22" s="8">
        <v>479.86</v>
      </c>
      <c r="V22" s="16">
        <v>479.86</v>
      </c>
      <c r="W22" s="63">
        <f>SUM(K22:V22)</f>
        <v>6480.379999999999</v>
      </c>
      <c r="X22" s="76">
        <f>SUM(C22:V22)</f>
        <v>6480.379999999999</v>
      </c>
    </row>
    <row r="23" spans="1:24" ht="13.5" customHeight="1" thickBot="1">
      <c r="A23" s="40" t="s">
        <v>39</v>
      </c>
      <c r="B23" s="34" t="s">
        <v>6</v>
      </c>
      <c r="C23" s="57"/>
      <c r="D23" s="58">
        <v>2914.25</v>
      </c>
      <c r="E23" s="78">
        <v>820.45</v>
      </c>
      <c r="F23" s="58">
        <v>1187.02</v>
      </c>
      <c r="G23" s="58">
        <v>1238.51</v>
      </c>
      <c r="H23" s="58">
        <v>1122.2</v>
      </c>
      <c r="I23" s="78">
        <v>1245.5</v>
      </c>
      <c r="J23" s="58">
        <v>1044.46</v>
      </c>
      <c r="K23" s="7">
        <v>348.14</v>
      </c>
      <c r="L23" s="8"/>
      <c r="M23" s="8"/>
      <c r="N23" s="8">
        <v>300.16</v>
      </c>
      <c r="O23" s="8"/>
      <c r="P23" s="8">
        <v>288.13</v>
      </c>
      <c r="Q23" s="8"/>
      <c r="R23" s="8"/>
      <c r="S23" s="8">
        <v>324.15</v>
      </c>
      <c r="T23" s="8"/>
      <c r="U23" s="8"/>
      <c r="V23" s="16">
        <v>323.7</v>
      </c>
      <c r="W23" s="63">
        <f t="shared" si="3"/>
        <v>1584.28</v>
      </c>
      <c r="X23" s="98">
        <f t="shared" si="4"/>
        <v>11156.669999999998</v>
      </c>
    </row>
    <row r="24" spans="1:24" ht="35.25" customHeight="1" thickBot="1">
      <c r="A24" s="40" t="s">
        <v>40</v>
      </c>
      <c r="B24" s="34" t="s">
        <v>67</v>
      </c>
      <c r="C24" s="57"/>
      <c r="D24" s="58">
        <v>5505.96</v>
      </c>
      <c r="E24" s="78">
        <v>19662.91</v>
      </c>
      <c r="F24" s="58">
        <v>25906.2</v>
      </c>
      <c r="G24" s="58">
        <v>23924.16</v>
      </c>
      <c r="H24" s="58">
        <v>16549.92</v>
      </c>
      <c r="I24" s="78">
        <v>19523.73</v>
      </c>
      <c r="J24" s="58">
        <v>20642.74</v>
      </c>
      <c r="K24" s="7">
        <v>1747.64</v>
      </c>
      <c r="L24" s="8">
        <v>1634.1</v>
      </c>
      <c r="M24" s="8">
        <v>2031.44</v>
      </c>
      <c r="N24" s="8">
        <v>1509.75</v>
      </c>
      <c r="O24" s="8">
        <v>1607.85</v>
      </c>
      <c r="P24" s="8">
        <v>1808.14</v>
      </c>
      <c r="Q24" s="8">
        <v>1465.44</v>
      </c>
      <c r="R24" s="8">
        <v>1695.04</v>
      </c>
      <c r="S24" s="8">
        <v>1594.37</v>
      </c>
      <c r="T24" s="8">
        <v>2034.68</v>
      </c>
      <c r="U24" s="8">
        <v>2104.64</v>
      </c>
      <c r="V24" s="16">
        <v>1739.18</v>
      </c>
      <c r="W24" s="71">
        <f t="shared" si="3"/>
        <v>20972.27</v>
      </c>
      <c r="X24" s="76">
        <f t="shared" si="4"/>
        <v>152687.89000000004</v>
      </c>
    </row>
    <row r="25" spans="1:24" ht="19.5" customHeight="1" thickBot="1">
      <c r="A25" s="40" t="s">
        <v>41</v>
      </c>
      <c r="B25" s="34" t="s">
        <v>68</v>
      </c>
      <c r="C25" s="57"/>
      <c r="D25" s="58">
        <v>9591.46</v>
      </c>
      <c r="E25" s="78">
        <v>10698.59</v>
      </c>
      <c r="F25" s="58">
        <v>3214.33</v>
      </c>
      <c r="G25" s="58">
        <v>2288.01</v>
      </c>
      <c r="H25" s="58">
        <v>4978.99</v>
      </c>
      <c r="I25" s="78">
        <v>3364.7</v>
      </c>
      <c r="J25" s="58">
        <v>2936.61</v>
      </c>
      <c r="K25" s="7">
        <v>384.05</v>
      </c>
      <c r="L25" s="8">
        <v>118.17</v>
      </c>
      <c r="M25" s="8">
        <v>126.84</v>
      </c>
      <c r="N25" s="8">
        <v>117.3</v>
      </c>
      <c r="O25" s="8">
        <v>113.83</v>
      </c>
      <c r="P25" s="8">
        <v>177</v>
      </c>
      <c r="Q25" s="8">
        <v>166.28</v>
      </c>
      <c r="R25" s="8">
        <v>511.92</v>
      </c>
      <c r="S25" s="8">
        <v>119.49</v>
      </c>
      <c r="T25" s="8">
        <v>176.71</v>
      </c>
      <c r="U25" s="8">
        <v>119.49</v>
      </c>
      <c r="V25" s="16">
        <v>162.9</v>
      </c>
      <c r="W25" s="63">
        <f t="shared" si="3"/>
        <v>2293.98</v>
      </c>
      <c r="X25" s="98">
        <f t="shared" si="4"/>
        <v>39366.66999999999</v>
      </c>
    </row>
    <row r="26" spans="1:24" ht="33" customHeight="1" thickBot="1">
      <c r="A26" s="40" t="s">
        <v>57</v>
      </c>
      <c r="B26" s="34" t="s">
        <v>72</v>
      </c>
      <c r="C26" s="43"/>
      <c r="D26" s="49">
        <v>10122.47</v>
      </c>
      <c r="E26" s="79">
        <v>18175.69</v>
      </c>
      <c r="F26" s="49">
        <v>16713.22</v>
      </c>
      <c r="G26" s="49">
        <v>22443.97</v>
      </c>
      <c r="H26" s="49">
        <v>19303.88</v>
      </c>
      <c r="I26" s="79">
        <v>24665.98</v>
      </c>
      <c r="J26" s="49">
        <v>21480.17</v>
      </c>
      <c r="K26" s="7">
        <f>77.03+536.55+878.25</f>
        <v>1491.83</v>
      </c>
      <c r="L26" s="8">
        <f>76.7+635.75+538.54</f>
        <v>1250.99</v>
      </c>
      <c r="M26" s="8">
        <f>75.53+706.63+945.87</f>
        <v>1728.03</v>
      </c>
      <c r="N26" s="8">
        <f>71.31+647.67+910.43</f>
        <v>1629.4099999999999</v>
      </c>
      <c r="O26" s="8">
        <f>73.25+785.42+2227.24</f>
        <v>3085.91</v>
      </c>
      <c r="P26" s="8">
        <f>1082.15+85.95+643.19</f>
        <v>1811.2900000000002</v>
      </c>
      <c r="Q26" s="8">
        <f>94.05+566.06+1010.58</f>
        <v>1670.69</v>
      </c>
      <c r="R26" s="8">
        <f>101.94+522.32+1204.52</f>
        <v>1828.78</v>
      </c>
      <c r="S26" s="8">
        <f>1034.11+81.97+662.41</f>
        <v>1778.4899999999998</v>
      </c>
      <c r="T26" s="8">
        <f>105.3+748.8+1092.32</f>
        <v>1946.4199999999998</v>
      </c>
      <c r="U26" s="8">
        <f>96.65+872.55+1724.24</f>
        <v>2693.44</v>
      </c>
      <c r="V26" s="16">
        <f>99.59+879.18+731.54</f>
        <v>1710.31</v>
      </c>
      <c r="W26" s="71">
        <f t="shared" si="3"/>
        <v>22625.59</v>
      </c>
      <c r="X26" s="76">
        <f t="shared" si="4"/>
        <v>155530.97</v>
      </c>
    </row>
    <row r="27" spans="1:24" ht="15.75" customHeight="1" thickBot="1">
      <c r="A27" s="40" t="s">
        <v>58</v>
      </c>
      <c r="B27" s="34" t="s">
        <v>10</v>
      </c>
      <c r="C27" s="43"/>
      <c r="D27" s="49">
        <v>89129.21</v>
      </c>
      <c r="E27" s="79">
        <v>166209.24</v>
      </c>
      <c r="F27" s="49">
        <v>209916.98</v>
      </c>
      <c r="G27" s="49">
        <v>221576.33</v>
      </c>
      <c r="H27" s="49">
        <v>226167.43</v>
      </c>
      <c r="I27" s="79">
        <v>258026.13</v>
      </c>
      <c r="J27" s="49">
        <v>249198.68</v>
      </c>
      <c r="K27" s="7">
        <f>39784.36-18968.7</f>
        <v>20815.66</v>
      </c>
      <c r="L27" s="8">
        <f>35506.57-16538.63-0.2</f>
        <v>18967.739999999998</v>
      </c>
      <c r="M27" s="8">
        <f>38665.04-18064.57-1000</f>
        <v>19600.47</v>
      </c>
      <c r="N27" s="8">
        <f>38946.01-19142.24</f>
        <v>19803.77</v>
      </c>
      <c r="O27" s="8">
        <f>4388.67+878.79+12171.02+2479.28</f>
        <v>19917.76</v>
      </c>
      <c r="P27" s="8">
        <f>37180.67-17152.49</f>
        <v>20028.179999999997</v>
      </c>
      <c r="Q27" s="8">
        <f>42113.06-19466.24</f>
        <v>22646.819999999996</v>
      </c>
      <c r="R27" s="8">
        <f>50049.37-26911.28</f>
        <v>23138.090000000004</v>
      </c>
      <c r="S27" s="8">
        <f>36935.16-16724.32</f>
        <v>20210.840000000004</v>
      </c>
      <c r="T27" s="8">
        <f>38521.49-17562.29</f>
        <v>20959.199999999997</v>
      </c>
      <c r="U27" s="8">
        <f>46038.04-24875.52</f>
        <v>21162.52</v>
      </c>
      <c r="V27" s="16">
        <f>35891.88-16586.27</f>
        <v>19305.609999999997</v>
      </c>
      <c r="W27" s="63">
        <f t="shared" si="3"/>
        <v>246556.65999999995</v>
      </c>
      <c r="X27" s="98">
        <f t="shared" si="4"/>
        <v>1666780.66</v>
      </c>
    </row>
    <row r="28" spans="1:24" ht="13.5" customHeight="1" thickBot="1">
      <c r="A28" s="40" t="s">
        <v>59</v>
      </c>
      <c r="B28" s="35" t="s">
        <v>4</v>
      </c>
      <c r="C28" s="44"/>
      <c r="D28" s="50">
        <v>15922.08</v>
      </c>
      <c r="E28" s="80">
        <v>27919.21</v>
      </c>
      <c r="F28" s="50">
        <v>18380.99</v>
      </c>
      <c r="G28" s="50">
        <v>16368.85</v>
      </c>
      <c r="H28" s="50">
        <v>17328.92</v>
      </c>
      <c r="I28" s="80">
        <v>21505.41</v>
      </c>
      <c r="J28" s="50">
        <v>18274.67</v>
      </c>
      <c r="K28" s="9">
        <v>1438.23</v>
      </c>
      <c r="L28" s="10">
        <f>6.83+131.64+1554.74</f>
        <v>1693.21</v>
      </c>
      <c r="M28" s="10">
        <f>24.56+135.08+1497.14</f>
        <v>1656.7800000000002</v>
      </c>
      <c r="N28" s="10">
        <f>141.39+1590.7</f>
        <v>1732.0900000000001</v>
      </c>
      <c r="O28" s="10">
        <f>188.8+139.12+1508.51</f>
        <v>1836.43</v>
      </c>
      <c r="P28" s="10">
        <f>80.27+132.01+1513.18</f>
        <v>1725.46</v>
      </c>
      <c r="Q28" s="10">
        <f>143.72+1643.35</f>
        <v>1787.07</v>
      </c>
      <c r="R28" s="10">
        <f>66.95+1505.9</f>
        <v>1572.8500000000001</v>
      </c>
      <c r="S28" s="10">
        <f>97.61+1530.57</f>
        <v>1628.1799999999998</v>
      </c>
      <c r="T28" s="10">
        <f>47.95+106.72+1552.92</f>
        <v>1707.5900000000001</v>
      </c>
      <c r="U28" s="10">
        <f>109.93+1582.99</f>
        <v>1692.92</v>
      </c>
      <c r="V28" s="18">
        <f>13.64+100.39+1481.71</f>
        <v>1595.74</v>
      </c>
      <c r="W28" s="71">
        <f t="shared" si="3"/>
        <v>20066.55</v>
      </c>
      <c r="X28" s="76">
        <f t="shared" si="4"/>
        <v>155766.68</v>
      </c>
    </row>
    <row r="29" spans="1:24" ht="13.5" customHeight="1" thickBot="1">
      <c r="A29" s="40"/>
      <c r="B29" s="51" t="s">
        <v>63</v>
      </c>
      <c r="C29" s="46"/>
      <c r="D29" s="52"/>
      <c r="E29" s="81"/>
      <c r="F29" s="52"/>
      <c r="G29" s="52"/>
      <c r="H29" s="93">
        <f>H8*5%</f>
        <v>22587.288</v>
      </c>
      <c r="I29" s="105">
        <f>I8*5%</f>
        <v>22591.566000000003</v>
      </c>
      <c r="J29" s="91">
        <f aca="true" t="shared" si="5" ref="J29:V29">J8*5%</f>
        <v>24691.276500000004</v>
      </c>
      <c r="K29" s="107">
        <f t="shared" si="5"/>
        <v>2101.8365000000003</v>
      </c>
      <c r="L29" s="91">
        <f t="shared" si="5"/>
        <v>2101.8365000000003</v>
      </c>
      <c r="M29" s="91">
        <f t="shared" si="5"/>
        <v>2101.8365000000003</v>
      </c>
      <c r="N29" s="91">
        <f t="shared" si="5"/>
        <v>2101.8365000000003</v>
      </c>
      <c r="O29" s="91">
        <f t="shared" si="5"/>
        <v>2101.8365000000003</v>
      </c>
      <c r="P29" s="91">
        <f t="shared" si="5"/>
        <v>2101.8365000000003</v>
      </c>
      <c r="Q29" s="91">
        <f t="shared" si="5"/>
        <v>2101.8365000000003</v>
      </c>
      <c r="R29" s="91">
        <f t="shared" si="5"/>
        <v>2101.8365000000003</v>
      </c>
      <c r="S29" s="91">
        <f t="shared" si="5"/>
        <v>2101.8365000000003</v>
      </c>
      <c r="T29" s="91">
        <f t="shared" si="5"/>
        <v>2102.3540000000003</v>
      </c>
      <c r="U29" s="91">
        <f t="shared" si="5"/>
        <v>2102.3540000000003</v>
      </c>
      <c r="V29" s="91">
        <f t="shared" si="5"/>
        <v>2102.3540000000003</v>
      </c>
      <c r="W29" s="91">
        <f t="shared" si="3"/>
        <v>25223.590500000006</v>
      </c>
      <c r="X29" s="76"/>
    </row>
    <row r="30" spans="1:24" ht="14.25" customHeight="1" thickBot="1">
      <c r="A30" s="111"/>
      <c r="B30" s="75" t="s">
        <v>54</v>
      </c>
      <c r="C30" s="46"/>
      <c r="D30" s="52"/>
      <c r="E30" s="81"/>
      <c r="F30" s="52"/>
      <c r="G30" s="52"/>
      <c r="H30" s="52"/>
      <c r="I30" s="81"/>
      <c r="J30" s="52"/>
      <c r="K30" s="92">
        <f>SUM(K8+K9-K13)-K29</f>
        <v>5547.853499999995</v>
      </c>
      <c r="L30" s="91">
        <f aca="true" t="shared" si="6" ref="L30:V30">SUM(L8+L9+L10-L13)-L29</f>
        <v>9672.693500000005</v>
      </c>
      <c r="M30" s="91">
        <f t="shared" si="6"/>
        <v>6458.9434999999985</v>
      </c>
      <c r="N30" s="91">
        <f t="shared" si="6"/>
        <v>7178.633500000001</v>
      </c>
      <c r="O30" s="91">
        <f t="shared" si="6"/>
        <v>4929.663500000007</v>
      </c>
      <c r="P30" s="91">
        <f t="shared" si="6"/>
        <v>7245.043500000012</v>
      </c>
      <c r="Q30" s="91">
        <f t="shared" si="6"/>
        <v>-215.8864999999887</v>
      </c>
      <c r="R30" s="91">
        <f t="shared" si="6"/>
        <v>-6881.7265</v>
      </c>
      <c r="S30" s="91">
        <f t="shared" si="6"/>
        <v>6232.183500000004</v>
      </c>
      <c r="T30" s="91">
        <f t="shared" si="6"/>
        <v>4677.94600000001</v>
      </c>
      <c r="U30" s="91">
        <f t="shared" si="6"/>
        <v>-2838.603999999993</v>
      </c>
      <c r="V30" s="91">
        <f t="shared" si="6"/>
        <v>7566.356000000006</v>
      </c>
      <c r="W30" s="90">
        <f t="shared" si="3"/>
        <v>49573.09950000007</v>
      </c>
      <c r="X30" s="76"/>
    </row>
    <row r="31" spans="1:24" ht="25.5" customHeight="1" thickBot="1">
      <c r="A31" s="113" t="s">
        <v>42</v>
      </c>
      <c r="B31" s="36" t="s">
        <v>24</v>
      </c>
      <c r="C31" s="54">
        <v>44620.66</v>
      </c>
      <c r="D31" s="51">
        <v>106285.67</v>
      </c>
      <c r="E31" s="17">
        <f>SUM(E8-E13)</f>
        <v>36224.21000000002</v>
      </c>
      <c r="F31" s="63">
        <f>SUM(F8-F13)</f>
        <v>593.070000000007</v>
      </c>
      <c r="G31" s="63">
        <f>SUM(G8-G13)</f>
        <v>-41047.23999999993</v>
      </c>
      <c r="H31" s="91">
        <f>SUM(H8-H13)-H29</f>
        <v>10953.962000000058</v>
      </c>
      <c r="I31" s="106">
        <f>SUM(I8-I13)-I29</f>
        <v>-133536.02600000013</v>
      </c>
      <c r="J31" s="91">
        <f>SUM(J8-J13)-J29</f>
        <v>19988.483500000064</v>
      </c>
      <c r="K31" s="92">
        <f>SUM(K8+K9-K13)-K29</f>
        <v>5547.853499999995</v>
      </c>
      <c r="L31" s="91">
        <f>SUM(L30+K31)</f>
        <v>15220.546999999999</v>
      </c>
      <c r="M31" s="91">
        <f aca="true" t="shared" si="7" ref="M31:V31">SUM(M30+L31)</f>
        <v>21679.490499999996</v>
      </c>
      <c r="N31" s="91">
        <f t="shared" si="7"/>
        <v>28858.123999999996</v>
      </c>
      <c r="O31" s="91">
        <f t="shared" si="7"/>
        <v>33787.787500000006</v>
      </c>
      <c r="P31" s="91">
        <f t="shared" si="7"/>
        <v>41032.83100000002</v>
      </c>
      <c r="Q31" s="91">
        <f t="shared" si="7"/>
        <v>40816.944500000034</v>
      </c>
      <c r="R31" s="91">
        <f t="shared" si="7"/>
        <v>33935.21800000004</v>
      </c>
      <c r="S31" s="91">
        <f t="shared" si="7"/>
        <v>40167.40150000004</v>
      </c>
      <c r="T31" s="91">
        <f t="shared" si="7"/>
        <v>44845.347500000054</v>
      </c>
      <c r="U31" s="91">
        <f t="shared" si="7"/>
        <v>42006.74350000006</v>
      </c>
      <c r="V31" s="91">
        <f t="shared" si="7"/>
        <v>49573.09950000007</v>
      </c>
      <c r="W31" s="63"/>
      <c r="X31" s="66"/>
    </row>
    <row r="32" spans="1:24" ht="21" customHeight="1" hidden="1" thickBot="1">
      <c r="A32" s="112" t="s">
        <v>43</v>
      </c>
      <c r="B32" s="37" t="s">
        <v>25</v>
      </c>
      <c r="C32" s="54">
        <v>44620.66</v>
      </c>
      <c r="D32" s="51">
        <v>150906.33</v>
      </c>
      <c r="E32" s="17">
        <f>SUM(E8-E13,D32)</f>
        <v>187130.54</v>
      </c>
      <c r="F32" s="63">
        <f>SUM(F8-F13,E32)</f>
        <v>187723.61000000002</v>
      </c>
      <c r="G32" s="63">
        <f>SUM(G8-G13,F32)</f>
        <v>146676.37000000008</v>
      </c>
      <c r="H32" s="91">
        <f>SUM(H31+G32)</f>
        <v>157630.33200000014</v>
      </c>
      <c r="I32" s="106">
        <f>SUM(I31+H32)</f>
        <v>24094.30600000001</v>
      </c>
      <c r="J32" s="91">
        <f>SUM(J31+I32)</f>
        <v>44082.78950000007</v>
      </c>
      <c r="K32" s="92">
        <f>SUM(K31+J32)</f>
        <v>49630.64300000007</v>
      </c>
      <c r="L32" s="93">
        <f aca="true" t="shared" si="8" ref="L32:U32">SUM(L30+K32)</f>
        <v>59303.33650000008</v>
      </c>
      <c r="M32" s="93">
        <f t="shared" si="8"/>
        <v>65762.28000000007</v>
      </c>
      <c r="N32" s="91">
        <f t="shared" si="8"/>
        <v>72940.91350000007</v>
      </c>
      <c r="O32" s="92">
        <f t="shared" si="8"/>
        <v>77870.57700000008</v>
      </c>
      <c r="P32" s="91">
        <f t="shared" si="8"/>
        <v>85115.62050000009</v>
      </c>
      <c r="Q32" s="92">
        <f t="shared" si="8"/>
        <v>84899.7340000001</v>
      </c>
      <c r="R32" s="91">
        <f t="shared" si="8"/>
        <v>78018.0075000001</v>
      </c>
      <c r="S32" s="92">
        <f t="shared" si="8"/>
        <v>84250.1910000001</v>
      </c>
      <c r="T32" s="91">
        <f t="shared" si="8"/>
        <v>88928.1370000001</v>
      </c>
      <c r="U32" s="92">
        <f t="shared" si="8"/>
        <v>86089.53300000011</v>
      </c>
      <c r="V32" s="91">
        <f>SUM(V30+U32)+0.28</f>
        <v>93656.16900000011</v>
      </c>
      <c r="W32" s="63"/>
      <c r="X32" s="65"/>
    </row>
    <row r="33" spans="1:24" ht="23.25" hidden="1" thickBot="1">
      <c r="A33" s="40" t="s">
        <v>44</v>
      </c>
      <c r="B33" s="36" t="s">
        <v>8</v>
      </c>
      <c r="C33" s="45"/>
      <c r="D33" s="51"/>
      <c r="E33" s="51"/>
      <c r="F33" s="45"/>
      <c r="G33" s="45"/>
      <c r="H33" s="45"/>
      <c r="I33" s="45"/>
      <c r="J33" s="45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9"/>
      <c r="W33" s="63"/>
      <c r="X33" s="67"/>
    </row>
    <row r="34" spans="1:24" ht="15" customHeight="1" hidden="1" thickBot="1">
      <c r="A34" s="41" t="s">
        <v>45</v>
      </c>
      <c r="B34" s="37" t="s">
        <v>26</v>
      </c>
      <c r="C34" s="46"/>
      <c r="D34" s="52"/>
      <c r="E34" s="52"/>
      <c r="F34" s="46"/>
      <c r="G34" s="46"/>
      <c r="H34" s="46"/>
      <c r="I34" s="46"/>
      <c r="J34" s="46"/>
      <c r="K34" s="1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20"/>
      <c r="W34" s="72"/>
      <c r="X34" s="66"/>
    </row>
    <row r="35" spans="1:24" ht="24" customHeight="1" hidden="1" thickBot="1">
      <c r="A35" s="41" t="s">
        <v>49</v>
      </c>
      <c r="B35" s="38" t="s">
        <v>50</v>
      </c>
      <c r="C35" s="47"/>
      <c r="D35" s="53"/>
      <c r="E35" s="53"/>
      <c r="F35" s="47"/>
      <c r="G35" s="47"/>
      <c r="H35" s="47"/>
      <c r="I35" s="47"/>
      <c r="J35" s="47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>
        <f>SUM(V31-V33)</f>
        <v>49573.09950000007</v>
      </c>
      <c r="W35" s="73"/>
      <c r="X35" s="68"/>
    </row>
    <row r="36" spans="1:24" ht="23.25" customHeight="1" hidden="1" thickBot="1">
      <c r="A36" s="60" t="s">
        <v>51</v>
      </c>
      <c r="B36" s="38" t="s">
        <v>27</v>
      </c>
      <c r="C36" s="47"/>
      <c r="D36" s="53"/>
      <c r="E36" s="53"/>
      <c r="F36" s="47"/>
      <c r="G36" s="47"/>
      <c r="H36" s="47"/>
      <c r="I36" s="47"/>
      <c r="J36" s="47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>
        <f>SUM(V32-V33)</f>
        <v>93656.16900000011</v>
      </c>
      <c r="W36" s="73"/>
      <c r="X36" s="68"/>
    </row>
    <row r="37" spans="3:24" ht="13.5" customHeight="1" hidden="1">
      <c r="C37" s="22"/>
      <c r="D37" s="22"/>
      <c r="E37" s="22"/>
      <c r="F37" s="22"/>
      <c r="G37" s="22"/>
      <c r="H37" s="22"/>
      <c r="I37" s="22"/>
      <c r="J37" s="2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</row>
    <row r="38" ht="12.75" hidden="1"/>
    <row r="39" ht="12.75" hidden="1"/>
    <row r="40" ht="12.75" hidden="1"/>
    <row r="41" ht="12.75" hidden="1"/>
    <row r="42" ht="12.75">
      <c r="B42" t="s">
        <v>71</v>
      </c>
    </row>
    <row r="46" ht="12.75" customHeight="1"/>
    <row r="47" ht="12.75" customHeight="1"/>
  </sheetData>
  <sheetProtection/>
  <mergeCells count="5">
    <mergeCell ref="B4:X4"/>
    <mergeCell ref="B5:X5"/>
    <mergeCell ref="B3:X3"/>
    <mergeCell ref="B1:M1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2018-02-02T08:05:08Z</cp:lastPrinted>
  <dcterms:created xsi:type="dcterms:W3CDTF">2011-06-16T11:06:26Z</dcterms:created>
  <dcterms:modified xsi:type="dcterms:W3CDTF">2018-02-12T06:20:48Z</dcterms:modified>
  <cp:category/>
  <cp:version/>
  <cp:contentType/>
  <cp:contentStatus/>
</cp:coreProperties>
</file>