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<sst xmlns="http://schemas.openxmlformats.org/spreadsheetml/2006/main" count="72" uniqueCount="71">
  <si>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</si>
  <si>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</si>
  <si>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</si>
  <si>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</si>
  <si>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</si>
  <si>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</si>
  <si>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</si>
  <si>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</si>
  <si>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</si>
  <si>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</si>
  <si>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</si>
  <si>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</si>
  <si>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</si>
  <si>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</si>
  <si>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</si>
  <si>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</si>
  <si>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</si>
  <si>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</si>
  <si>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</si>
  <si>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</si>
  <si>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</si>
  <si>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</si>
  <si>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</si>
  <si>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</si>
  <si>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</si>
  <si>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</si>
  <si>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</si>
  <si>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</si>
  <si>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</si>
  <si>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</si>
  <si>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</si>
  <si>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</si>
  <si>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</si>
  <si>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</si>
  <si>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</si>
  <si>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</si>
  <si>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4.6</t>
  </si>
  <si>
    <t>4.8</t>
  </si>
  <si>
    <t>4.10</t>
  </si>
  <si>
    <t>4.11</t>
  </si>
  <si>
    <t>5</t>
  </si>
  <si>
    <t>6</t>
  </si>
  <si>
    <t>7</t>
  </si>
  <si>
    <t>8</t>
  </si>
  <si>
    <t>9</t>
  </si>
  <si>
    <t>по жилому дому г. Унеча пер.Мира д.10</t>
  </si>
  <si>
    <t>за 2010г</t>
  </si>
  <si>
    <t>10</t>
  </si>
  <si>
    <t>Финансовый результат по дому с начала года</t>
  </si>
  <si>
    <t>Итого за 2011</t>
  </si>
  <si>
    <t>Результат за месяц</t>
  </si>
  <si>
    <t>Исполнитель /Викторова Л.С./</t>
  </si>
  <si>
    <t>Итого за 2012</t>
  </si>
  <si>
    <t>Благоустройство территории</t>
  </si>
  <si>
    <t xml:space="preserve">Материалы </t>
  </si>
  <si>
    <t>4.12</t>
  </si>
  <si>
    <t>4.13</t>
  </si>
  <si>
    <t>4.14</t>
  </si>
  <si>
    <t>Итого за 2013</t>
  </si>
  <si>
    <t xml:space="preserve">%  оплаты </t>
  </si>
  <si>
    <t>Итого за 2014</t>
  </si>
  <si>
    <t>рентабельность 5%</t>
  </si>
  <si>
    <t>Итого за 2015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</si>
  <si>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</si>
  <si>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</si>
  <si>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</si>
  <si>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</si>
  <si>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Дом по  пер.Мира д.10 вступил в ООО "Наш дом" с  апреля 2010 года                                                                   тариф 9,2 руб</t>
  </si>
  <si>
    <t>Итого за 2016</t>
  </si>
  <si>
    <t>Итого за 2017</t>
  </si>
  <si>
    <t>Всего за 2010-2017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</si>
</sst>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8" xfId="0" applyFont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8" xfId="0" applyNumberFormat="1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0" fontId="24" fillId="0" borderId="34" xfId="0" applyFont="1" applyBorder="1" applyAlignment="1">
      <alignment wrapText="1"/>
    </xf>
    <xf numFmtId="1" fontId="21" fillId="0" borderId="35" xfId="0" applyNumberFormat="1" applyFont="1" applyBorder="1" applyAlignment="1">
      <alignment horizontal="center"/>
    </xf>
    <xf numFmtId="0" fontId="21" fillId="0" borderId="26" xfId="0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0" fontId="25" fillId="0" borderId="34" xfId="0" applyFont="1" applyBorder="1" applyAlignment="1">
      <alignment/>
    </xf>
    <xf numFmtId="1" fontId="20" fillId="0" borderId="36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49" fontId="25" fillId="0" borderId="39" xfId="0" applyNumberFormat="1" applyFont="1" applyBorder="1" applyAlignment="1">
      <alignment horizontal="right"/>
    </xf>
    <xf numFmtId="49" fontId="25" fillId="0" borderId="26" xfId="0" applyNumberFormat="1" applyFont="1" applyBorder="1" applyAlignment="1">
      <alignment horizontal="right"/>
    </xf>
    <xf numFmtId="0" fontId="21" fillId="0" borderId="34" xfId="0" applyFont="1" applyBorder="1" applyAlignment="1">
      <alignment/>
    </xf>
    <xf numFmtId="1" fontId="21" fillId="0" borderId="36" xfId="0" applyNumberFormat="1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2" borderId="27" xfId="0" applyFont="1" applyFill="1" applyBorder="1" applyAlignment="1">
      <alignment wrapText="1"/>
    </xf>
    <xf numFmtId="0" fontId="24" fillId="0" borderId="40" xfId="0" applyFont="1" applyBorder="1" applyAlignment="1">
      <alignment wrapText="1"/>
    </xf>
    <xf numFmtId="0" fontId="24" fillId="0" borderId="41" xfId="0" applyFont="1" applyBorder="1" applyAlignment="1">
      <alignment wrapText="1"/>
    </xf>
    <xf numFmtId="2" fontId="21" fillId="0" borderId="42" xfId="0" applyNumberFormat="1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/>
    </xf>
    <xf numFmtId="0" fontId="24" fillId="0" borderId="28" xfId="0" applyFont="1" applyBorder="1" applyAlignment="1">
      <alignment wrapText="1"/>
    </xf>
    <xf numFmtId="2" fontId="21" fillId="0" borderId="37" xfId="0" applyNumberFormat="1" applyFont="1" applyBorder="1" applyAlignment="1">
      <alignment/>
    </xf>
    <xf numFmtId="49" fontId="0" fillId="0" borderId="47" xfId="0" applyNumberFormat="1" applyBorder="1" applyAlignment="1">
      <alignment horizontal="center"/>
    </xf>
    <xf numFmtId="0" fontId="21" fillId="0" borderId="48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2" fontId="21" fillId="0" borderId="39" xfId="0" applyNumberFormat="1" applyFont="1" applyBorder="1" applyAlignment="1">
      <alignment/>
    </xf>
    <xf numFmtId="49" fontId="0" fillId="0" borderId="28" xfId="0" applyNumberForma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3" xfId="0" applyNumberFormat="1" applyFont="1" applyBorder="1" applyAlignment="1">
      <alignment/>
    </xf>
    <xf numFmtId="49" fontId="0" fillId="0" borderId="26" xfId="0" applyNumberForma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7">
      <selection activeCell="V12" sqref="V12"/>
    </sheetView>
  </sheetViews>
  <sheetFormatPr defaultColWidth="9.00390625" defaultRowHeight="12.75"/>
  <cols>
    <col min="1" max="1" width="4.25390625" style="35" customWidth="1"/>
    <col min="2" max="2" width="18.375" style="0" customWidth="1"/>
    <col min="3" max="3" width="7.00390625" style="0" hidden="1" customWidth="1"/>
    <col min="4" max="4" width="6.75390625" style="0" hidden="1" customWidth="1"/>
    <col min="5" max="5" width="9.375" style="0" hidden="1" customWidth="1"/>
    <col min="6" max="6" width="9.00390625" style="0" hidden="1" customWidth="1"/>
    <col min="7" max="7" width="9.375" style="0" hidden="1" customWidth="1"/>
    <col min="8" max="8" width="9.125" style="0" hidden="1" customWidth="1"/>
    <col min="9" max="9" width="0.2421875" style="0" hidden="1" customWidth="1"/>
    <col min="10" max="10" width="8.125" style="0" customWidth="1"/>
    <col min="11" max="11" width="9.25390625" style="0" customWidth="1"/>
    <col min="12" max="12" width="9.00390625" style="0" customWidth="1"/>
    <col min="13" max="13" width="7.75390625" style="0" customWidth="1"/>
    <col min="14" max="14" width="7.875" style="0" customWidth="1"/>
    <col min="15" max="15" width="8.25390625" style="0" customWidth="1"/>
    <col min="16" max="16" width="7.875" style="0" customWidth="1"/>
    <col min="17" max="18" width="8.875" style="0" customWidth="1"/>
    <col min="19" max="19" width="8.375" style="0" customWidth="1"/>
    <col min="20" max="20" width="8.25390625" style="0" customWidth="1"/>
    <col min="21" max="21" width="8.75390625" style="0" customWidth="1"/>
    <col min="22" max="22" width="10.125" style="0" customWidth="1"/>
    <col min="23" max="23" width="10.125" style="0" hidden="1" customWidth="1"/>
  </cols>
  <sheetData>
    <row r="1" spans="2:28" ht="12.75" customHeight="1">
      <c r="B1" s="100" t="s">
        <v>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100" t="s">
        <v>67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57"/>
      <c r="W2" s="4"/>
      <c r="X2" s="4"/>
      <c r="Y2" s="4"/>
      <c r="Z2" s="4"/>
      <c r="AA2" s="4"/>
      <c r="AB2" s="4"/>
    </row>
    <row r="3" spans="2:28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3"/>
      <c r="Y3" s="3"/>
      <c r="Z3" s="3"/>
      <c r="AA3" s="3"/>
      <c r="AB3" s="3"/>
    </row>
    <row r="4" spans="2:28" ht="15" customHeight="1">
      <c r="B4" s="98" t="s">
        <v>11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2"/>
      <c r="Y4" s="2"/>
      <c r="Z4" s="2"/>
      <c r="AA4" s="2"/>
      <c r="AB4" s="2"/>
    </row>
    <row r="5" spans="2:28" ht="16.5" customHeight="1">
      <c r="B5" s="98" t="s">
        <v>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2"/>
      <c r="Y5" s="2"/>
      <c r="Z5" s="2"/>
      <c r="AA5" s="2"/>
      <c r="AB5" s="2"/>
    </row>
    <row r="6" spans="2:28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43.5" customHeight="1" thickBot="1">
      <c r="A7" s="46" t="s">
        <v>28</v>
      </c>
      <c r="B7" s="36" t="s">
        <v>7</v>
      </c>
      <c r="C7" s="49" t="s">
        <v>46</v>
      </c>
      <c r="D7" s="64" t="s">
        <v>49</v>
      </c>
      <c r="E7" s="64" t="s">
        <v>52</v>
      </c>
      <c r="F7" s="64" t="s">
        <v>58</v>
      </c>
      <c r="G7" s="64" t="s">
        <v>60</v>
      </c>
      <c r="H7" s="64" t="s">
        <v>62</v>
      </c>
      <c r="I7" s="64" t="s">
        <v>68</v>
      </c>
      <c r="J7" s="6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23</v>
      </c>
      <c r="U7" s="17" t="s">
        <v>22</v>
      </c>
      <c r="V7" s="64" t="s">
        <v>69</v>
      </c>
      <c r="W7" s="24" t="s">
        <v>70</v>
      </c>
      <c r="X7" s="1"/>
      <c r="Y7" s="1"/>
      <c r="Z7" s="1"/>
      <c r="AA7" s="1"/>
      <c r="AB7" s="1"/>
    </row>
    <row r="8" spans="1:23" ht="12.75">
      <c r="A8" s="47" t="s">
        <v>29</v>
      </c>
      <c r="B8" s="37" t="s">
        <v>1</v>
      </c>
      <c r="C8" s="58">
        <v>21152.64</v>
      </c>
      <c r="D8" s="76">
        <v>27842.88</v>
      </c>
      <c r="E8" s="58">
        <v>27842.88</v>
      </c>
      <c r="F8" s="58">
        <v>27842.88</v>
      </c>
      <c r="G8" s="87">
        <v>27780.32</v>
      </c>
      <c r="H8" s="58">
        <v>27655.2</v>
      </c>
      <c r="I8" s="58">
        <v>27655.2</v>
      </c>
      <c r="J8" s="7">
        <v>2304.6</v>
      </c>
      <c r="K8" s="8">
        <v>2304.6</v>
      </c>
      <c r="L8" s="8">
        <v>2304.6</v>
      </c>
      <c r="M8" s="8">
        <v>2304.6</v>
      </c>
      <c r="N8" s="8">
        <v>2304.6</v>
      </c>
      <c r="O8" s="8">
        <v>2304.6</v>
      </c>
      <c r="P8" s="8">
        <v>2304.6</v>
      </c>
      <c r="Q8" s="8">
        <v>2304.6</v>
      </c>
      <c r="R8" s="8">
        <v>2304.6</v>
      </c>
      <c r="S8" s="8">
        <v>2304.6</v>
      </c>
      <c r="T8" s="8">
        <v>2304.6</v>
      </c>
      <c r="U8" s="18">
        <v>2304.6</v>
      </c>
      <c r="V8" s="71">
        <f>SUM(J8:U8)</f>
        <v>27655.199999999993</v>
      </c>
      <c r="W8" s="62">
        <f>SUM(C8:U8)</f>
        <v>215427.2000000001</v>
      </c>
    </row>
    <row r="9" spans="1:23" ht="12.75">
      <c r="A9" s="47" t="s">
        <v>30</v>
      </c>
      <c r="B9" s="38" t="s">
        <v>2</v>
      </c>
      <c r="C9" s="50">
        <v>18372.63</v>
      </c>
      <c r="D9" s="77">
        <v>27841.35</v>
      </c>
      <c r="E9" s="50">
        <v>27842.88</v>
      </c>
      <c r="F9" s="50">
        <v>27842.8</v>
      </c>
      <c r="G9" s="50">
        <v>27795.96</v>
      </c>
      <c r="H9" s="50">
        <v>27655.2</v>
      </c>
      <c r="I9" s="50">
        <v>27655.2</v>
      </c>
      <c r="J9" s="9">
        <v>2304.6</v>
      </c>
      <c r="K9" s="10">
        <v>2304.6</v>
      </c>
      <c r="L9" s="10">
        <v>2304.6</v>
      </c>
      <c r="M9" s="10">
        <v>2304.6</v>
      </c>
      <c r="N9" s="10">
        <v>2304.6</v>
      </c>
      <c r="O9" s="10">
        <v>2304.6</v>
      </c>
      <c r="P9" s="10">
        <v>2304.6</v>
      </c>
      <c r="Q9" s="10">
        <v>2304.6</v>
      </c>
      <c r="R9" s="10">
        <v>2304.6</v>
      </c>
      <c r="S9" s="10">
        <v>2304.6</v>
      </c>
      <c r="T9" s="10">
        <v>2304.6</v>
      </c>
      <c r="U9" s="19">
        <v>2304.6</v>
      </c>
      <c r="V9" s="65">
        <f>SUM(J9:U9)</f>
        <v>27655.199999999993</v>
      </c>
      <c r="W9" s="33">
        <f>SUM(C9:U9)</f>
        <v>212661.2200000001</v>
      </c>
    </row>
    <row r="10" spans="1:23" ht="15" customHeight="1" thickBot="1">
      <c r="A10" s="47" t="s">
        <v>31</v>
      </c>
      <c r="B10" s="39" t="s">
        <v>59</v>
      </c>
      <c r="C10" s="59">
        <f aca="true" t="shared" si="0" ref="C10:J10">SUM(C9/C8*100)</f>
        <v>86.85738517745304</v>
      </c>
      <c r="D10" s="61">
        <f t="shared" si="0"/>
        <v>99.99450487880563</v>
      </c>
      <c r="E10" s="59">
        <f t="shared" si="0"/>
        <v>100</v>
      </c>
      <c r="F10" s="59">
        <f t="shared" si="0"/>
        <v>99.9997126734016</v>
      </c>
      <c r="G10" s="59">
        <f t="shared" si="0"/>
        <v>100.05629884752946</v>
      </c>
      <c r="H10" s="59">
        <f>SUM(H9/H8*100)</f>
        <v>100</v>
      </c>
      <c r="I10" s="59">
        <f>SUM(I9/I8*100)</f>
        <v>100</v>
      </c>
      <c r="J10" s="26">
        <f t="shared" si="0"/>
        <v>100</v>
      </c>
      <c r="K10" s="26">
        <f aca="true" t="shared" si="1" ref="K10:U10">SUM(K9/K8*100)</f>
        <v>100</v>
      </c>
      <c r="L10" s="26">
        <f t="shared" si="1"/>
        <v>100</v>
      </c>
      <c r="M10" s="26">
        <f t="shared" si="1"/>
        <v>100</v>
      </c>
      <c r="N10" s="26">
        <f t="shared" si="1"/>
        <v>100</v>
      </c>
      <c r="O10" s="26">
        <f t="shared" si="1"/>
        <v>100</v>
      </c>
      <c r="P10" s="26">
        <f t="shared" si="1"/>
        <v>100</v>
      </c>
      <c r="Q10" s="26">
        <f t="shared" si="1"/>
        <v>100</v>
      </c>
      <c r="R10" s="26">
        <f t="shared" si="1"/>
        <v>100</v>
      </c>
      <c r="S10" s="26">
        <f t="shared" si="1"/>
        <v>100</v>
      </c>
      <c r="T10" s="26">
        <f t="shared" si="1"/>
        <v>100</v>
      </c>
      <c r="U10" s="61">
        <f t="shared" si="1"/>
        <v>100</v>
      </c>
      <c r="V10" s="72">
        <f>SUM(V9/V8*100)</f>
        <v>100</v>
      </c>
      <c r="W10" s="63">
        <f>SUM(W9/W8*100)</f>
        <v>98.71604885548344</v>
      </c>
    </row>
    <row r="11" spans="1:23" ht="13.5" thickBot="1">
      <c r="A11" s="47" t="s">
        <v>32</v>
      </c>
      <c r="B11" s="40" t="s">
        <v>3</v>
      </c>
      <c r="C11" s="60">
        <f aca="true" t="shared" si="2" ref="C11:J11">SUM(C12:C21)</f>
        <v>15895.030000000004</v>
      </c>
      <c r="D11" s="20">
        <f t="shared" si="2"/>
        <v>29427.4</v>
      </c>
      <c r="E11" s="60">
        <f t="shared" si="2"/>
        <v>26400.07</v>
      </c>
      <c r="F11" s="60">
        <f t="shared" si="2"/>
        <v>26534.1</v>
      </c>
      <c r="G11" s="60">
        <f t="shared" si="2"/>
        <v>26311.66</v>
      </c>
      <c r="H11" s="60">
        <f>SUM(H12:H21)</f>
        <v>27443.54</v>
      </c>
      <c r="I11" s="60">
        <f>SUM(I12:I21)</f>
        <v>26416.090000000004</v>
      </c>
      <c r="J11" s="13">
        <f t="shared" si="2"/>
        <v>2169.41</v>
      </c>
      <c r="K11" s="13">
        <f aca="true" t="shared" si="3" ref="K11:U11">SUM(K12:K21)</f>
        <v>2059.13</v>
      </c>
      <c r="L11" s="13">
        <f t="shared" si="3"/>
        <v>2138.57</v>
      </c>
      <c r="M11" s="13">
        <f t="shared" si="3"/>
        <v>2155.59</v>
      </c>
      <c r="N11" s="13">
        <f t="shared" si="3"/>
        <v>2226.5899999999997</v>
      </c>
      <c r="O11" s="13">
        <f t="shared" si="3"/>
        <v>2158.75</v>
      </c>
      <c r="P11" s="13">
        <f t="shared" si="3"/>
        <v>2279.19</v>
      </c>
      <c r="Q11" s="13">
        <f t="shared" si="3"/>
        <v>2306.27</v>
      </c>
      <c r="R11" s="13">
        <f t="shared" si="3"/>
        <v>2738.55</v>
      </c>
      <c r="S11" s="13">
        <f t="shared" si="3"/>
        <v>1887.44</v>
      </c>
      <c r="T11" s="13">
        <f t="shared" si="3"/>
        <v>2229.82</v>
      </c>
      <c r="U11" s="20">
        <f t="shared" si="3"/>
        <v>2446.48</v>
      </c>
      <c r="V11" s="60">
        <f>SUM(J11:U11)</f>
        <v>26795.789999999997</v>
      </c>
      <c r="W11" s="34">
        <f>SUM(C11:U11)</f>
        <v>205223.68000000002</v>
      </c>
    </row>
    <row r="12" spans="1:23" ht="13.5" thickBot="1">
      <c r="A12" s="47" t="s">
        <v>33</v>
      </c>
      <c r="B12" s="41" t="s">
        <v>5</v>
      </c>
      <c r="C12" s="56">
        <v>4340.71</v>
      </c>
      <c r="D12" s="78">
        <v>6702.59</v>
      </c>
      <c r="E12" s="56">
        <v>7414.65</v>
      </c>
      <c r="F12" s="56">
        <v>8492.26</v>
      </c>
      <c r="G12" s="56">
        <v>8578.08</v>
      </c>
      <c r="H12" s="56">
        <v>7771.63</v>
      </c>
      <c r="I12" s="56">
        <v>7364.35</v>
      </c>
      <c r="J12" s="7">
        <f>583+7.24+8</f>
        <v>598.24</v>
      </c>
      <c r="K12" s="8">
        <f>583+34.01</f>
        <v>617.01</v>
      </c>
      <c r="L12" s="8">
        <f>583+19.97</f>
        <v>602.97</v>
      </c>
      <c r="M12" s="8">
        <f>583+63.29</f>
        <v>646.29</v>
      </c>
      <c r="N12" s="8">
        <f>583+31.59</f>
        <v>614.59</v>
      </c>
      <c r="O12" s="8">
        <f>583+19.31</f>
        <v>602.31</v>
      </c>
      <c r="P12" s="8">
        <f>583+30.42</f>
        <v>613.42</v>
      </c>
      <c r="Q12" s="8">
        <f>583+35.37</f>
        <v>618.37</v>
      </c>
      <c r="R12" s="8">
        <f>583+36.59</f>
        <v>619.59</v>
      </c>
      <c r="S12" s="8">
        <f>583+38.04</f>
        <v>621.04</v>
      </c>
      <c r="T12" s="8">
        <f>583+33.24</f>
        <v>616.24</v>
      </c>
      <c r="U12" s="18">
        <f>583+33.3</f>
        <v>616.3</v>
      </c>
      <c r="V12" s="66">
        <f aca="true" t="shared" si="4" ref="V12:V23">SUM(J12:U12)</f>
        <v>7386.37</v>
      </c>
      <c r="W12" s="69">
        <f>SUM(C12:U12)</f>
        <v>58050.63999999999</v>
      </c>
    </row>
    <row r="13" spans="1:23" ht="17.25" customHeight="1" thickBot="1">
      <c r="A13" s="47" t="s">
        <v>34</v>
      </c>
      <c r="B13" s="42" t="s">
        <v>66</v>
      </c>
      <c r="C13" s="51">
        <v>4076.05</v>
      </c>
      <c r="D13" s="79">
        <v>7612.25</v>
      </c>
      <c r="E13" s="51">
        <v>1307.95</v>
      </c>
      <c r="F13" s="51">
        <v>6.56</v>
      </c>
      <c r="G13" s="51"/>
      <c r="H13" s="51">
        <v>0</v>
      </c>
      <c r="I13" s="51">
        <v>19.31</v>
      </c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9"/>
      <c r="V13" s="60">
        <f>SUM(J13:U13)</f>
        <v>0</v>
      </c>
      <c r="W13" s="70">
        <f>SUM(C13:U13)</f>
        <v>13022.119999999999</v>
      </c>
    </row>
    <row r="14" spans="1:23" ht="15.75" customHeight="1" thickBot="1">
      <c r="A14" s="47" t="s">
        <v>35</v>
      </c>
      <c r="B14" s="42" t="s">
        <v>54</v>
      </c>
      <c r="C14" s="51">
        <v>94.12</v>
      </c>
      <c r="D14" s="79">
        <v>121.54</v>
      </c>
      <c r="E14" s="51">
        <v>116.02</v>
      </c>
      <c r="F14" s="51">
        <v>0</v>
      </c>
      <c r="G14" s="51">
        <v>80.81</v>
      </c>
      <c r="H14" s="51">
        <v>352.23</v>
      </c>
      <c r="I14" s="51">
        <v>899.26</v>
      </c>
      <c r="J14" s="9"/>
      <c r="K14" s="10"/>
      <c r="L14" s="10"/>
      <c r="M14" s="10"/>
      <c r="N14" s="10"/>
      <c r="O14" s="10"/>
      <c r="P14" s="10"/>
      <c r="Q14" s="10"/>
      <c r="R14" s="10">
        <v>570</v>
      </c>
      <c r="S14" s="10"/>
      <c r="T14" s="10"/>
      <c r="U14" s="19">
        <v>330</v>
      </c>
      <c r="V14" s="60">
        <f t="shared" si="4"/>
        <v>900</v>
      </c>
      <c r="W14" s="70">
        <f aca="true" t="shared" si="5" ref="W14:W21">SUM(C14:U14)</f>
        <v>2563.98</v>
      </c>
    </row>
    <row r="15" spans="1:23" ht="22.5" customHeight="1" thickBot="1">
      <c r="A15" s="47" t="s">
        <v>36</v>
      </c>
      <c r="B15" s="42" t="s">
        <v>53</v>
      </c>
      <c r="C15" s="51">
        <v>0</v>
      </c>
      <c r="D15" s="79">
        <v>0</v>
      </c>
      <c r="E15" s="51">
        <v>256</v>
      </c>
      <c r="F15" s="51">
        <v>0</v>
      </c>
      <c r="G15" s="51">
        <v>6.3</v>
      </c>
      <c r="H15" s="51">
        <v>0</v>
      </c>
      <c r="I15" s="51">
        <v>51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9"/>
      <c r="V15" s="60">
        <f t="shared" si="4"/>
        <v>0</v>
      </c>
      <c r="W15" s="70">
        <f t="shared" si="5"/>
        <v>313.3</v>
      </c>
    </row>
    <row r="16" spans="1:23" ht="24.75" customHeight="1" thickBot="1">
      <c r="A16" s="47" t="s">
        <v>37</v>
      </c>
      <c r="B16" s="42" t="s">
        <v>6</v>
      </c>
      <c r="C16" s="51">
        <v>128.09</v>
      </c>
      <c r="D16" s="79">
        <v>0</v>
      </c>
      <c r="E16" s="51">
        <v>0</v>
      </c>
      <c r="F16" s="51">
        <v>0</v>
      </c>
      <c r="G16" s="51"/>
      <c r="H16" s="51">
        <v>0</v>
      </c>
      <c r="I16" s="51">
        <v>0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9"/>
      <c r="V16" s="60">
        <f t="shared" si="4"/>
        <v>0</v>
      </c>
      <c r="W16" s="70">
        <f t="shared" si="5"/>
        <v>128.09</v>
      </c>
    </row>
    <row r="17" spans="1:23" ht="32.25" customHeight="1" thickBot="1">
      <c r="A17" s="47" t="s">
        <v>38</v>
      </c>
      <c r="B17" s="42" t="s">
        <v>63</v>
      </c>
      <c r="C17" s="51">
        <v>346.79</v>
      </c>
      <c r="D17" s="79">
        <v>1224.57</v>
      </c>
      <c r="E17" s="51">
        <v>1845.19</v>
      </c>
      <c r="F17" s="51">
        <v>1670.91</v>
      </c>
      <c r="G17" s="51">
        <v>1024.9</v>
      </c>
      <c r="H17" s="51">
        <v>1203.9</v>
      </c>
      <c r="I17" s="51">
        <v>1273.1</v>
      </c>
      <c r="J17" s="9">
        <v>107.79</v>
      </c>
      <c r="K17" s="10">
        <v>100.79</v>
      </c>
      <c r="L17" s="10">
        <v>125.29</v>
      </c>
      <c r="M17" s="10">
        <v>93.12</v>
      </c>
      <c r="N17" s="10">
        <v>99.17</v>
      </c>
      <c r="O17" s="10">
        <v>111.52</v>
      </c>
      <c r="P17" s="10">
        <v>90.38</v>
      </c>
      <c r="Q17" s="10">
        <v>104.54</v>
      </c>
      <c r="R17" s="10">
        <v>98.34</v>
      </c>
      <c r="S17" s="10">
        <v>125.46</v>
      </c>
      <c r="T17" s="10">
        <v>129.78</v>
      </c>
      <c r="U17" s="19">
        <v>107.24</v>
      </c>
      <c r="V17" s="66">
        <f t="shared" si="4"/>
        <v>1293.4199999999998</v>
      </c>
      <c r="W17" s="69">
        <f t="shared" si="5"/>
        <v>9882.780000000004</v>
      </c>
    </row>
    <row r="18" spans="1:23" ht="33.75" customHeight="1" thickBot="1">
      <c r="A18" s="47" t="s">
        <v>39</v>
      </c>
      <c r="B18" s="42" t="s">
        <v>64</v>
      </c>
      <c r="C18" s="51">
        <v>570.7</v>
      </c>
      <c r="D18" s="79">
        <v>666.61</v>
      </c>
      <c r="E18" s="51">
        <v>199.97</v>
      </c>
      <c r="F18" s="51">
        <v>142.14</v>
      </c>
      <c r="G18" s="51">
        <v>308.39</v>
      </c>
      <c r="H18" s="51">
        <v>207.48</v>
      </c>
      <c r="I18" s="51">
        <v>181.12</v>
      </c>
      <c r="J18" s="9">
        <v>23.69</v>
      </c>
      <c r="K18" s="10">
        <v>7.29</v>
      </c>
      <c r="L18" s="10">
        <v>7.82</v>
      </c>
      <c r="M18" s="10">
        <v>7.23</v>
      </c>
      <c r="N18" s="10">
        <v>7.02</v>
      </c>
      <c r="O18" s="10">
        <v>10.92</v>
      </c>
      <c r="P18" s="10">
        <v>10.26</v>
      </c>
      <c r="Q18" s="10">
        <v>31.57</v>
      </c>
      <c r="R18" s="10">
        <v>7.37</v>
      </c>
      <c r="S18" s="10">
        <v>10.9</v>
      </c>
      <c r="T18" s="10">
        <v>7.37</v>
      </c>
      <c r="U18" s="19">
        <v>10.04</v>
      </c>
      <c r="V18" s="60">
        <f t="shared" si="4"/>
        <v>141.48000000000002</v>
      </c>
      <c r="W18" s="70">
        <f t="shared" si="5"/>
        <v>2417.8900000000003</v>
      </c>
    </row>
    <row r="19" spans="1:23" ht="33" customHeight="1" thickBot="1">
      <c r="A19" s="47" t="s">
        <v>55</v>
      </c>
      <c r="B19" s="42" t="s">
        <v>65</v>
      </c>
      <c r="C19" s="51">
        <v>186.9</v>
      </c>
      <c r="D19" s="79">
        <v>1081.22</v>
      </c>
      <c r="E19" s="51">
        <v>1039.4</v>
      </c>
      <c r="F19" s="51">
        <v>1394.37</v>
      </c>
      <c r="G19" s="51">
        <v>1194.94</v>
      </c>
      <c r="H19" s="51">
        <v>1557.97</v>
      </c>
      <c r="I19" s="51">
        <v>1321.2</v>
      </c>
      <c r="J19" s="9">
        <f>4.75+33.09+54.17</f>
        <v>92.01</v>
      </c>
      <c r="K19" s="10">
        <f>4.73+39.21+33.22</f>
        <v>77.16</v>
      </c>
      <c r="L19" s="10">
        <f>4.66+43.58+58.34</f>
        <v>106.58</v>
      </c>
      <c r="M19" s="10">
        <f>4.4+39.95+56.15</f>
        <v>100.5</v>
      </c>
      <c r="N19" s="10">
        <f>4.52+48.44+137.37</f>
        <v>190.32999999999998</v>
      </c>
      <c r="O19" s="10">
        <f>66.74+5.3+39.67</f>
        <v>111.71</v>
      </c>
      <c r="P19" s="10">
        <f>5.8+34.91+62.33</f>
        <v>103.03999999999999</v>
      </c>
      <c r="Q19" s="10">
        <f>6.29+32.21+74.29</f>
        <v>112.79</v>
      </c>
      <c r="R19" s="10">
        <f>63.78+5.06+40.86</f>
        <v>109.7</v>
      </c>
      <c r="S19" s="10">
        <f>6.49+46.17+67.35</f>
        <v>120.00999999999999</v>
      </c>
      <c r="T19" s="10">
        <f>5.96+53.8+106.32</f>
        <v>166.07999999999998</v>
      </c>
      <c r="U19" s="19">
        <f>6.14+54.21+45.11</f>
        <v>105.46000000000001</v>
      </c>
      <c r="V19" s="66">
        <f t="shared" si="4"/>
        <v>1395.37</v>
      </c>
      <c r="W19" s="69">
        <f t="shared" si="5"/>
        <v>9171.37</v>
      </c>
    </row>
    <row r="20" spans="1:23" ht="15.75" customHeight="1" thickBot="1">
      <c r="A20" s="47" t="s">
        <v>56</v>
      </c>
      <c r="B20" s="42" t="s">
        <v>10</v>
      </c>
      <c r="C20" s="51">
        <v>5414.55</v>
      </c>
      <c r="D20" s="79">
        <v>10353.27</v>
      </c>
      <c r="E20" s="51">
        <v>13055.85</v>
      </c>
      <c r="F20" s="51">
        <v>13776.54</v>
      </c>
      <c r="G20" s="51">
        <v>14068.69</v>
      </c>
      <c r="H20" s="51">
        <v>15306.09</v>
      </c>
      <c r="I20" s="51">
        <v>14262.51</v>
      </c>
      <c r="J20" s="9">
        <f>2169.41-908.75</f>
        <v>1260.6599999999999</v>
      </c>
      <c r="K20" s="10">
        <f>2059.13-889.27</f>
        <v>1169.8600000000001</v>
      </c>
      <c r="L20" s="10">
        <f>2138.57-929.68</f>
        <v>1208.8900000000003</v>
      </c>
      <c r="M20" s="10">
        <f>2155.59-934.16</f>
        <v>1221.4300000000003</v>
      </c>
      <c r="N20" s="10">
        <f>2226.59-998.13</f>
        <v>1228.46</v>
      </c>
      <c r="O20" s="10">
        <f>2158.75-923.48</f>
        <v>1235.27</v>
      </c>
      <c r="P20" s="10">
        <f>2279.19-904.12</f>
        <v>1375.0700000000002</v>
      </c>
      <c r="Q20" s="10">
        <f>2306.27-954.29</f>
        <v>1351.98</v>
      </c>
      <c r="R20" s="10">
        <f>2738.55-1492.02</f>
        <v>1246.5300000000002</v>
      </c>
      <c r="S20" s="10">
        <f>1887.44-964.43</f>
        <v>923.0100000000001</v>
      </c>
      <c r="T20" s="10">
        <f>2229.82-1006.49</f>
        <v>1223.3300000000002</v>
      </c>
      <c r="U20" s="19">
        <f>2462.44-1272.02</f>
        <v>1190.42</v>
      </c>
      <c r="V20" s="60">
        <f t="shared" si="4"/>
        <v>14634.91</v>
      </c>
      <c r="W20" s="70">
        <f t="shared" si="5"/>
        <v>100872.41</v>
      </c>
    </row>
    <row r="21" spans="1:23" ht="15" customHeight="1" thickBot="1">
      <c r="A21" s="47" t="s">
        <v>57</v>
      </c>
      <c r="B21" s="43" t="s">
        <v>4</v>
      </c>
      <c r="C21" s="52">
        <v>737.12</v>
      </c>
      <c r="D21" s="80">
        <v>1665.35</v>
      </c>
      <c r="E21" s="52">
        <v>1165.04</v>
      </c>
      <c r="F21" s="52">
        <v>1051.32</v>
      </c>
      <c r="G21" s="52">
        <v>1049.55</v>
      </c>
      <c r="H21" s="52">
        <v>1044.24</v>
      </c>
      <c r="I21" s="52">
        <v>1044.24</v>
      </c>
      <c r="J21" s="11">
        <v>87.02</v>
      </c>
      <c r="K21" s="12">
        <v>87.02</v>
      </c>
      <c r="L21" s="12">
        <v>87.02</v>
      </c>
      <c r="M21" s="12">
        <v>87.02</v>
      </c>
      <c r="N21" s="12">
        <v>87.02</v>
      </c>
      <c r="O21" s="12">
        <v>87.02</v>
      </c>
      <c r="P21" s="12">
        <v>87.02</v>
      </c>
      <c r="Q21" s="12">
        <v>87.02</v>
      </c>
      <c r="R21" s="12">
        <v>87.02</v>
      </c>
      <c r="S21" s="12">
        <v>87.02</v>
      </c>
      <c r="T21" s="12">
        <v>87.02</v>
      </c>
      <c r="U21" s="21">
        <v>87.02</v>
      </c>
      <c r="V21" s="66">
        <f t="shared" si="4"/>
        <v>1044.24</v>
      </c>
      <c r="W21" s="69">
        <f t="shared" si="5"/>
        <v>8801.100000000004</v>
      </c>
    </row>
    <row r="22" spans="1:23" ht="13.5" customHeight="1" thickBot="1">
      <c r="A22" s="47"/>
      <c r="B22" s="44" t="s">
        <v>61</v>
      </c>
      <c r="C22" s="54"/>
      <c r="D22" s="81"/>
      <c r="E22" s="54"/>
      <c r="F22" s="54"/>
      <c r="G22" s="82">
        <f>G8*5%</f>
        <v>1389.016</v>
      </c>
      <c r="H22" s="82">
        <f>H8*5%</f>
        <v>1382.7600000000002</v>
      </c>
      <c r="I22" s="88">
        <f>I8*5%</f>
        <v>1382.7600000000002</v>
      </c>
      <c r="J22" s="83">
        <f>J8*5%</f>
        <v>115.23</v>
      </c>
      <c r="K22" s="82">
        <f aca="true" t="shared" si="6" ref="K22:U22">K8*5%</f>
        <v>115.23</v>
      </c>
      <c r="L22" s="83">
        <f t="shared" si="6"/>
        <v>115.23</v>
      </c>
      <c r="M22" s="82">
        <f t="shared" si="6"/>
        <v>115.23</v>
      </c>
      <c r="N22" s="83">
        <f t="shared" si="6"/>
        <v>115.23</v>
      </c>
      <c r="O22" s="82">
        <f t="shared" si="6"/>
        <v>115.23</v>
      </c>
      <c r="P22" s="83">
        <f t="shared" si="6"/>
        <v>115.23</v>
      </c>
      <c r="Q22" s="82">
        <f t="shared" si="6"/>
        <v>115.23</v>
      </c>
      <c r="R22" s="83">
        <f t="shared" si="6"/>
        <v>115.23</v>
      </c>
      <c r="S22" s="82">
        <f t="shared" si="6"/>
        <v>115.23</v>
      </c>
      <c r="T22" s="83">
        <f t="shared" si="6"/>
        <v>115.23</v>
      </c>
      <c r="U22" s="82">
        <f t="shared" si="6"/>
        <v>115.23</v>
      </c>
      <c r="V22" s="82">
        <f t="shared" si="4"/>
        <v>1382.76</v>
      </c>
      <c r="W22" s="70"/>
    </row>
    <row r="23" spans="1:23" ht="15" customHeight="1" thickBot="1">
      <c r="A23" s="89" t="s">
        <v>40</v>
      </c>
      <c r="B23" s="90" t="s">
        <v>50</v>
      </c>
      <c r="C23" s="91"/>
      <c r="D23" s="92"/>
      <c r="E23" s="91"/>
      <c r="F23" s="91"/>
      <c r="G23" s="91"/>
      <c r="H23" s="91"/>
      <c r="I23" s="91"/>
      <c r="J23" s="85">
        <f aca="true" t="shared" si="7" ref="J23:U23">SUM(J8-J11)-J22</f>
        <v>19.96000000000005</v>
      </c>
      <c r="K23" s="86">
        <f t="shared" si="7"/>
        <v>130.23999999999978</v>
      </c>
      <c r="L23" s="85">
        <f t="shared" si="7"/>
        <v>50.79999999999974</v>
      </c>
      <c r="M23" s="86">
        <f t="shared" si="7"/>
        <v>33.77999999999976</v>
      </c>
      <c r="N23" s="85">
        <f t="shared" si="7"/>
        <v>-37.219999999999786</v>
      </c>
      <c r="O23" s="86">
        <f t="shared" si="7"/>
        <v>30.619999999999905</v>
      </c>
      <c r="P23" s="85">
        <f t="shared" si="7"/>
        <v>-89.82000000000015</v>
      </c>
      <c r="Q23" s="86">
        <f t="shared" si="7"/>
        <v>-116.90000000000008</v>
      </c>
      <c r="R23" s="85">
        <f t="shared" si="7"/>
        <v>-549.1800000000003</v>
      </c>
      <c r="S23" s="86">
        <f t="shared" si="7"/>
        <v>301.92999999999984</v>
      </c>
      <c r="T23" s="85">
        <f t="shared" si="7"/>
        <v>-40.45000000000026</v>
      </c>
      <c r="U23" s="86">
        <f t="shared" si="7"/>
        <v>-257.1100000000001</v>
      </c>
      <c r="V23" s="93">
        <f t="shared" si="4"/>
        <v>-523.3500000000017</v>
      </c>
      <c r="W23" s="69"/>
    </row>
    <row r="24" spans="1:23" ht="28.5" customHeight="1" thickBot="1">
      <c r="A24" s="97" t="s">
        <v>41</v>
      </c>
      <c r="B24" s="53" t="s">
        <v>24</v>
      </c>
      <c r="C24" s="53">
        <v>5257.61</v>
      </c>
      <c r="D24" s="20">
        <f>SUM(D8-D11)</f>
        <v>-1584.5200000000004</v>
      </c>
      <c r="E24" s="60">
        <f>SUM(E8-E11)</f>
        <v>1442.8100000000013</v>
      </c>
      <c r="F24" s="60">
        <f>SUM(F8-F11)</f>
        <v>1308.7800000000025</v>
      </c>
      <c r="G24" s="82">
        <f>SUM(G8-G11)-G22</f>
        <v>79.64399999999978</v>
      </c>
      <c r="H24" s="82">
        <f>SUM(H8-H11)-H22</f>
        <v>-1171.1000000000004</v>
      </c>
      <c r="I24" s="82">
        <f>SUM(I8-I11)-I22</f>
        <v>-143.65000000000327</v>
      </c>
      <c r="J24" s="84">
        <f>SUM(J8-J11)-J22</f>
        <v>19.96000000000005</v>
      </c>
      <c r="K24" s="82">
        <f>SUM(K23+J24)</f>
        <v>150.19999999999982</v>
      </c>
      <c r="L24" s="84">
        <f aca="true" t="shared" si="8" ref="L24:U24">SUM(L23+K24)</f>
        <v>200.99999999999955</v>
      </c>
      <c r="M24" s="82">
        <f t="shared" si="8"/>
        <v>234.7799999999993</v>
      </c>
      <c r="N24" s="84">
        <f t="shared" si="8"/>
        <v>197.5599999999995</v>
      </c>
      <c r="O24" s="82">
        <f t="shared" si="8"/>
        <v>228.17999999999938</v>
      </c>
      <c r="P24" s="84">
        <f t="shared" si="8"/>
        <v>138.35999999999922</v>
      </c>
      <c r="Q24" s="82">
        <f t="shared" si="8"/>
        <v>21.45999999999914</v>
      </c>
      <c r="R24" s="84">
        <f t="shared" si="8"/>
        <v>-527.7200000000012</v>
      </c>
      <c r="S24" s="82">
        <f t="shared" si="8"/>
        <v>-225.79000000000133</v>
      </c>
      <c r="T24" s="84">
        <f t="shared" si="8"/>
        <v>-266.2400000000016</v>
      </c>
      <c r="U24" s="82">
        <f t="shared" si="8"/>
        <v>-523.3500000000017</v>
      </c>
      <c r="V24" s="60"/>
      <c r="W24" s="25"/>
    </row>
    <row r="25" spans="1:23" ht="23.25" customHeight="1" hidden="1" thickBot="1">
      <c r="A25" s="94" t="s">
        <v>42</v>
      </c>
      <c r="B25" s="44" t="s">
        <v>25</v>
      </c>
      <c r="C25" s="54">
        <v>5257.61</v>
      </c>
      <c r="D25" s="95">
        <f>SUM(D8-D11,C25)</f>
        <v>3673.0899999999992</v>
      </c>
      <c r="E25" s="67">
        <f>SUM(E8-E11,D25)</f>
        <v>5115.900000000001</v>
      </c>
      <c r="F25" s="67">
        <f>SUM(F8-F11,E25)</f>
        <v>6424.680000000003</v>
      </c>
      <c r="G25" s="88">
        <f>SUM(G24+F25)</f>
        <v>6504.324000000002</v>
      </c>
      <c r="H25" s="88">
        <f>SUM(H24+G25)</f>
        <v>5333.224000000002</v>
      </c>
      <c r="I25" s="88">
        <f>SUM(I24+H25)</f>
        <v>5189.573999999999</v>
      </c>
      <c r="J25" s="96">
        <f>SUM(J24+I25)</f>
        <v>5209.533999999999</v>
      </c>
      <c r="K25" s="88">
        <f>SUM(K23+J25)</f>
        <v>5339.7739999999985</v>
      </c>
      <c r="L25" s="83">
        <f aca="true" t="shared" si="9" ref="L25:U25">SUM(L23+K25)</f>
        <v>5390.573999999999</v>
      </c>
      <c r="M25" s="88">
        <f t="shared" si="9"/>
        <v>5424.353999999998</v>
      </c>
      <c r="N25" s="83">
        <f t="shared" si="9"/>
        <v>5387.133999999999</v>
      </c>
      <c r="O25" s="88">
        <f t="shared" si="9"/>
        <v>5417.753999999999</v>
      </c>
      <c r="P25" s="83">
        <f t="shared" si="9"/>
        <v>5327.933999999999</v>
      </c>
      <c r="Q25" s="88">
        <f t="shared" si="9"/>
        <v>5211.034</v>
      </c>
      <c r="R25" s="83">
        <f t="shared" si="9"/>
        <v>4661.853999999999</v>
      </c>
      <c r="S25" s="88">
        <f t="shared" si="9"/>
        <v>4963.784</v>
      </c>
      <c r="T25" s="83">
        <f t="shared" si="9"/>
        <v>4923.334</v>
      </c>
      <c r="U25" s="88">
        <f t="shared" si="9"/>
        <v>4666.224</v>
      </c>
      <c r="V25" s="67"/>
      <c r="W25" s="34"/>
    </row>
    <row r="26" spans="1:23" ht="23.25" hidden="1" thickBot="1">
      <c r="A26" s="47" t="s">
        <v>42</v>
      </c>
      <c r="B26" s="53" t="s">
        <v>8</v>
      </c>
      <c r="C26" s="53"/>
      <c r="D26" s="53"/>
      <c r="E26" s="74"/>
      <c r="F26" s="74"/>
      <c r="G26" s="74"/>
      <c r="H26" s="74"/>
      <c r="I26" s="74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2"/>
      <c r="V26" s="60"/>
      <c r="W26" s="25"/>
    </row>
    <row r="27" spans="1:23" ht="15" customHeight="1" hidden="1" thickBot="1">
      <c r="A27" s="47" t="s">
        <v>43</v>
      </c>
      <c r="B27" s="44" t="s">
        <v>26</v>
      </c>
      <c r="C27" s="54"/>
      <c r="D27" s="54"/>
      <c r="E27" s="73"/>
      <c r="F27" s="73"/>
      <c r="G27" s="73"/>
      <c r="H27" s="73"/>
      <c r="I27" s="73"/>
      <c r="J27" s="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3"/>
      <c r="V27" s="67"/>
      <c r="W27" s="25"/>
    </row>
    <row r="28" spans="1:23" ht="0.75" customHeight="1" hidden="1" thickBot="1">
      <c r="A28" s="48" t="s">
        <v>44</v>
      </c>
      <c r="B28" s="45" t="s">
        <v>48</v>
      </c>
      <c r="C28" s="55"/>
      <c r="D28" s="55"/>
      <c r="E28" s="75"/>
      <c r="F28" s="75"/>
      <c r="G28" s="75"/>
      <c r="H28" s="75"/>
      <c r="I28" s="7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>
        <f>SUM(U24-U26)</f>
        <v>-523.3500000000017</v>
      </c>
      <c r="V28" s="68"/>
      <c r="W28" s="32"/>
    </row>
    <row r="29" spans="1:23" ht="24" customHeight="1" hidden="1" thickBot="1">
      <c r="A29" s="48" t="s">
        <v>47</v>
      </c>
      <c r="B29" s="45" t="s">
        <v>27</v>
      </c>
      <c r="C29" s="55"/>
      <c r="D29" s="55"/>
      <c r="E29" s="75"/>
      <c r="F29" s="75"/>
      <c r="G29" s="75"/>
      <c r="H29" s="75"/>
      <c r="I29" s="7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>
        <f>SUM(U25-U26)</f>
        <v>4666.224</v>
      </c>
      <c r="V29" s="68"/>
      <c r="W29" s="32"/>
    </row>
    <row r="30" spans="2:23" ht="1.5" customHeight="1" hidden="1">
      <c r="B30" s="27"/>
      <c r="C30" s="27"/>
      <c r="D30" s="27"/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</row>
    <row r="32" ht="0.75" customHeight="1"/>
    <row r="33" ht="12.75" hidden="1"/>
    <row r="34" ht="12.75" hidden="1"/>
    <row r="35" ht="12.75">
      <c r="B35" t="s">
        <v>51</v>
      </c>
    </row>
    <row r="39" ht="12.75" customHeight="1"/>
    <row r="40" ht="12.75" customHeight="1"/>
  </sheetData>
  <sheetProtection/>
  <mergeCells count="5">
    <mergeCell ref="B4:W4"/>
    <mergeCell ref="B5:W5"/>
    <mergeCell ref="B3:W3"/>
    <mergeCell ref="B1:L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2018-02-02T08:04:32Z</cp:lastPrinted>
  <dcterms:created xsi:type="dcterms:W3CDTF">2011-06-16T11:06:26Z</dcterms:created>
  <dcterms:modified xsi:type="dcterms:W3CDTF">2018-02-13T05:56:21Z</dcterms:modified>
  <cp:category/>
  <cp:version/>
  <cp:contentType/>
  <cp:contentStatus/>
</cp:coreProperties>
</file>