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<sst xmlns="http://schemas.openxmlformats.org/spreadsheetml/2006/main" count="69" uniqueCount="68">
  <si>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</si>
  <si>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</si>
  <si>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</si>
  <si>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</si>
  <si>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</si>
  <si>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</si>
  <si>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Наименование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</si>
  <si>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</si>
  <si>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</si>
  <si>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</si>
  <si>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</si>
  <si>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</si>
  <si>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</si>
  <si>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</si>
  <si>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</si>
  <si>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</si>
  <si>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</si>
  <si>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</si>
  <si>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</si>
  <si>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</si>
  <si>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</si>
  <si>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</si>
  <si>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</si>
  <si>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</si>
  <si>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№</t>
  </si>
  <si>
    <t>1</t>
  </si>
  <si>
    <t>2</t>
  </si>
  <si>
    <t>3</t>
  </si>
  <si>
    <t>4</t>
  </si>
  <si>
    <t>4.1</t>
  </si>
  <si>
    <t>4.2</t>
  </si>
  <si>
    <t>4.4</t>
  </si>
  <si>
    <t>4.5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</si>
  <si>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</si>
  <si>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</si>
  <si>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</si>
  <si>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</si>
  <si>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</si>
  <si>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</si>
  <si>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</si>
  <si>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</si>
  <si>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</si>
  <si>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</si>
  <si>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10</t>
  </si>
  <si>
    <t>Результат за месяц</t>
  </si>
  <si>
    <t>Благоустройство территории</t>
  </si>
  <si>
    <t>4.12</t>
  </si>
  <si>
    <t xml:space="preserve">%  оплаты </t>
  </si>
  <si>
    <t>рентабельность 5%</t>
  </si>
  <si>
    <t>по жилому дому г. Унеча пер.Мира д.1</t>
  </si>
  <si>
    <t>Итого за 2015 г</t>
  </si>
  <si>
    <t>Услуги сторонних орган.</t>
  </si>
  <si>
    <t xml:space="preserve">Материалы 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</si>
  <si>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</si>
  <si>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</si>
  <si>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</si>
  <si>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/ВиктороваЛ.С./</t>
  </si>
  <si>
    <t>Дом по пер.Мира д.1  вступил в ООО "Наш  дом"  с мая  2015 года                                   тариф 10,35 руб</t>
  </si>
  <si>
    <t>2717,67</t>
  </si>
  <si>
    <t>Итого за 2016 г</t>
  </si>
  <si>
    <t>14736,58</t>
  </si>
  <si>
    <t>61012,67</t>
  </si>
  <si>
    <t>Итого за 2017 г</t>
  </si>
  <si>
    <t>Всего за 2015-2017</t>
  </si>
  <si>
    <t>Начислено СОИД</t>
  </si>
  <si>
    <t>4.6</t>
  </si>
  <si>
    <t>Злектроэнергия СОИД</t>
  </si>
  <si>
    <t>Горячая вода СОИД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</si>
</sst>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19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2" xfId="0" applyFont="1" applyBorder="1" applyAlignment="1">
      <alignment/>
    </xf>
    <xf numFmtId="1" fontId="21" fillId="0" borderId="13" xfId="0" applyNumberFormat="1" applyFont="1" applyBorder="1" applyAlignment="1">
      <alignment horizontal="center"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6" xfId="0" applyFont="1" applyFill="1" applyBorder="1" applyAlignment="1">
      <alignment/>
    </xf>
    <xf numFmtId="0" fontId="20" fillId="2" borderId="2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4" xfId="0" applyFont="1" applyBorder="1" applyAlignment="1">
      <alignment horizontal="left" vertical="center" wrapText="1"/>
    </xf>
    <xf numFmtId="0" fontId="24" fillId="0" borderId="25" xfId="0" applyFont="1" applyBorder="1" applyAlignment="1">
      <alignment wrapText="1"/>
    </xf>
    <xf numFmtId="0" fontId="24" fillId="0" borderId="26" xfId="0" applyFont="1" applyBorder="1" applyAlignment="1">
      <alignment wrapText="1"/>
    </xf>
    <xf numFmtId="0" fontId="21" fillId="0" borderId="26" xfId="0" applyFont="1" applyBorder="1" applyAlignment="1">
      <alignment horizontal="left" wrapText="1"/>
    </xf>
    <xf numFmtId="0" fontId="24" fillId="0" borderId="24" xfId="0" applyFont="1" applyBorder="1" applyAlignment="1">
      <alignment wrapText="1"/>
    </xf>
    <xf numFmtId="49" fontId="21" fillId="0" borderId="25" xfId="0" applyNumberFormat="1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2" borderId="28" xfId="0" applyFont="1" applyFill="1" applyBorder="1" applyAlignment="1">
      <alignment wrapText="1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9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2" fontId="21" fillId="0" borderId="14" xfId="0" applyNumberFormat="1" applyFont="1" applyBorder="1" applyAlignment="1">
      <alignment/>
    </xf>
    <xf numFmtId="2" fontId="21" fillId="0" borderId="20" xfId="0" applyNumberFormat="1" applyFont="1" applyBorder="1" applyAlignment="1">
      <alignment/>
    </xf>
    <xf numFmtId="2" fontId="21" fillId="0" borderId="33" xfId="0" applyNumberFormat="1" applyFont="1" applyBorder="1" applyAlignment="1">
      <alignment/>
    </xf>
    <xf numFmtId="2" fontId="21" fillId="0" borderId="34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1" fontId="21" fillId="0" borderId="36" xfId="0" applyNumberFormat="1" applyFont="1" applyBorder="1" applyAlignment="1">
      <alignment horizontal="center"/>
    </xf>
    <xf numFmtId="0" fontId="25" fillId="0" borderId="24" xfId="0" applyFont="1" applyBorder="1" applyAlignment="1">
      <alignment/>
    </xf>
    <xf numFmtId="0" fontId="0" fillId="0" borderId="37" xfId="0" applyBorder="1" applyAlignment="1">
      <alignment/>
    </xf>
    <xf numFmtId="0" fontId="0" fillId="0" borderId="28" xfId="0" applyBorder="1" applyAlignment="1">
      <alignment/>
    </xf>
    <xf numFmtId="0" fontId="0" fillId="2" borderId="24" xfId="0" applyFill="1" applyBorder="1" applyAlignment="1">
      <alignment/>
    </xf>
    <xf numFmtId="0" fontId="19" fillId="0" borderId="32" xfId="0" applyFont="1" applyBorder="1" applyAlignment="1">
      <alignment horizontal="center" vertical="center" wrapText="1"/>
    </xf>
    <xf numFmtId="0" fontId="21" fillId="0" borderId="32" xfId="0" applyFont="1" applyBorder="1" applyAlignment="1">
      <alignment/>
    </xf>
    <xf numFmtId="0" fontId="21" fillId="0" borderId="38" xfId="0" applyFont="1" applyBorder="1" applyAlignment="1">
      <alignment/>
    </xf>
    <xf numFmtId="0" fontId="20" fillId="2" borderId="38" xfId="0" applyFont="1" applyFill="1" applyBorder="1" applyAlignment="1">
      <alignment/>
    </xf>
    <xf numFmtId="0" fontId="19" fillId="0" borderId="24" xfId="0" applyFont="1" applyBorder="1" applyAlignment="1">
      <alignment horizontal="center" vertical="center" wrapText="1"/>
    </xf>
    <xf numFmtId="0" fontId="21" fillId="0" borderId="39" xfId="0" applyFont="1" applyBorder="1" applyAlignment="1">
      <alignment wrapText="1"/>
    </xf>
    <xf numFmtId="0" fontId="19" fillId="0" borderId="40" xfId="0" applyFont="1" applyBorder="1" applyAlignment="1">
      <alignment horizontal="center" vertical="center" wrapText="1"/>
    </xf>
    <xf numFmtId="0" fontId="20" fillId="2" borderId="12" xfId="0" applyFont="1" applyFill="1" applyBorder="1" applyAlignment="1">
      <alignment/>
    </xf>
    <xf numFmtId="1" fontId="21" fillId="0" borderId="33" xfId="0" applyNumberFormat="1" applyFont="1" applyBorder="1" applyAlignment="1">
      <alignment horizontal="center"/>
    </xf>
    <xf numFmtId="1" fontId="21" fillId="0" borderId="31" xfId="0" applyNumberFormat="1" applyFont="1" applyBorder="1" applyAlignment="1">
      <alignment horizontal="center"/>
    </xf>
    <xf numFmtId="0" fontId="21" fillId="0" borderId="29" xfId="0" applyFont="1" applyBorder="1" applyAlignment="1">
      <alignment/>
    </xf>
    <xf numFmtId="0" fontId="21" fillId="0" borderId="41" xfId="0" applyFont="1" applyBorder="1" applyAlignment="1">
      <alignment/>
    </xf>
    <xf numFmtId="0" fontId="21" fillId="0" borderId="42" xfId="0" applyFont="1" applyBorder="1" applyAlignment="1">
      <alignment/>
    </xf>
    <xf numFmtId="2" fontId="20" fillId="0" borderId="39" xfId="0" applyNumberFormat="1" applyFont="1" applyBorder="1" applyAlignment="1">
      <alignment/>
    </xf>
    <xf numFmtId="2" fontId="21" fillId="0" borderId="32" xfId="0" applyNumberFormat="1" applyFont="1" applyBorder="1" applyAlignment="1">
      <alignment/>
    </xf>
    <xf numFmtId="2" fontId="21" fillId="0" borderId="42" xfId="0" applyNumberFormat="1" applyFont="1" applyBorder="1" applyAlignment="1">
      <alignment/>
    </xf>
    <xf numFmtId="2" fontId="21" fillId="0" borderId="43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44" xfId="0" applyNumberFormat="1" applyFont="1" applyBorder="1" applyAlignment="1">
      <alignment/>
    </xf>
    <xf numFmtId="2" fontId="21" fillId="0" borderId="45" xfId="0" applyNumberFormat="1" applyFont="1" applyBorder="1" applyAlignment="1">
      <alignment/>
    </xf>
    <xf numFmtId="0" fontId="21" fillId="0" borderId="38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2" fontId="21" fillId="0" borderId="21" xfId="0" applyNumberFormat="1" applyFont="1" applyBorder="1" applyAlignment="1">
      <alignment/>
    </xf>
    <xf numFmtId="0" fontId="21" fillId="0" borderId="23" xfId="0" applyFont="1" applyBorder="1" applyAlignment="1">
      <alignment wrapText="1"/>
    </xf>
    <xf numFmtId="0" fontId="21" fillId="2" borderId="23" xfId="0" applyFont="1" applyFill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49" fontId="21" fillId="0" borderId="41" xfId="0" applyNumberFormat="1" applyFont="1" applyBorder="1" applyAlignment="1">
      <alignment horizontal="right" wrapText="1"/>
    </xf>
    <xf numFmtId="0" fontId="24" fillId="0" borderId="46" xfId="0" applyFont="1" applyBorder="1" applyAlignment="1">
      <alignment wrapText="1"/>
    </xf>
    <xf numFmtId="0" fontId="24" fillId="0" borderId="47" xfId="0" applyFont="1" applyBorder="1" applyAlignment="1">
      <alignment wrapText="1"/>
    </xf>
    <xf numFmtId="1" fontId="21" fillId="0" borderId="48" xfId="0" applyNumberFormat="1" applyFont="1" applyBorder="1" applyAlignment="1">
      <alignment horizontal="center"/>
    </xf>
    <xf numFmtId="49" fontId="21" fillId="0" borderId="46" xfId="0" applyNumberFormat="1" applyFont="1" applyBorder="1" applyAlignment="1">
      <alignment horizontal="right" wrapText="1"/>
    </xf>
    <xf numFmtId="0" fontId="21" fillId="0" borderId="47" xfId="0" applyFont="1" applyBorder="1" applyAlignment="1">
      <alignment wrapText="1"/>
    </xf>
    <xf numFmtId="0" fontId="21" fillId="0" borderId="49" xfId="0" applyFont="1" applyBorder="1" applyAlignment="1">
      <alignment wrapText="1"/>
    </xf>
    <xf numFmtId="2" fontId="21" fillId="0" borderId="50" xfId="0" applyNumberFormat="1" applyFont="1" applyBorder="1" applyAlignment="1">
      <alignment/>
    </xf>
    <xf numFmtId="0" fontId="21" fillId="0" borderId="51" xfId="0" applyFont="1" applyBorder="1" applyAlignment="1">
      <alignment wrapText="1"/>
    </xf>
    <xf numFmtId="0" fontId="21" fillId="0" borderId="50" xfId="0" applyFont="1" applyBorder="1" applyAlignment="1">
      <alignment wrapText="1"/>
    </xf>
    <xf numFmtId="0" fontId="21" fillId="0" borderId="52" xfId="0" applyFont="1" applyBorder="1" applyAlignment="1">
      <alignment wrapText="1"/>
    </xf>
    <xf numFmtId="49" fontId="21" fillId="0" borderId="32" xfId="0" applyNumberFormat="1" applyFont="1" applyBorder="1" applyAlignment="1">
      <alignment horizontal="right"/>
    </xf>
    <xf numFmtId="0" fontId="26" fillId="0" borderId="29" xfId="0" applyFont="1" applyBorder="1" applyAlignment="1">
      <alignment wrapText="1"/>
    </xf>
    <xf numFmtId="0" fontId="26" fillId="0" borderId="41" xfId="0" applyFont="1" applyBorder="1" applyAlignment="1">
      <alignment wrapText="1"/>
    </xf>
    <xf numFmtId="0" fontId="26" fillId="0" borderId="30" xfId="0" applyFont="1" applyBorder="1" applyAlignment="1">
      <alignment wrapText="1"/>
    </xf>
    <xf numFmtId="49" fontId="21" fillId="0" borderId="30" xfId="0" applyNumberFormat="1" applyFont="1" applyBorder="1" applyAlignment="1">
      <alignment horizontal="center"/>
    </xf>
    <xf numFmtId="49" fontId="21" fillId="0" borderId="53" xfId="0" applyNumberFormat="1" applyFont="1" applyBorder="1" applyAlignment="1">
      <alignment horizontal="center"/>
    </xf>
    <xf numFmtId="49" fontId="21" fillId="0" borderId="32" xfId="0" applyNumberFormat="1" applyFont="1" applyBorder="1" applyAlignment="1">
      <alignment horizontal="center"/>
    </xf>
    <xf numFmtId="49" fontId="21" fillId="0" borderId="41" xfId="0" applyNumberFormat="1" applyFont="1" applyBorder="1" applyAlignment="1">
      <alignment horizontal="center"/>
    </xf>
    <xf numFmtId="0" fontId="27" fillId="0" borderId="29" xfId="0" applyFont="1" applyBorder="1" applyAlignment="1">
      <alignment/>
    </xf>
    <xf numFmtId="1" fontId="27" fillId="0" borderId="31" xfId="0" applyNumberFormat="1" applyFont="1" applyBorder="1" applyAlignment="1">
      <alignment horizontal="center"/>
    </xf>
    <xf numFmtId="2" fontId="27" fillId="0" borderId="24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7">
      <selection activeCell="P23" sqref="P23"/>
    </sheetView>
  </sheetViews>
  <sheetFormatPr defaultColWidth="9.00390625" defaultRowHeight="12.75"/>
  <cols>
    <col min="1" max="1" width="4.75390625" style="26" customWidth="1"/>
    <col min="2" max="2" width="20.625" style="0" customWidth="1"/>
    <col min="3" max="3" width="11.00390625" style="0" hidden="1" customWidth="1"/>
    <col min="4" max="4" width="10.625" style="0" hidden="1" customWidth="1"/>
    <col min="5" max="5" width="9.00390625" style="0" customWidth="1"/>
    <col min="6" max="6" width="8.125" style="0" customWidth="1"/>
    <col min="7" max="8" width="7.875" style="0" customWidth="1"/>
    <col min="9" max="9" width="8.75390625" style="0" customWidth="1"/>
    <col min="10" max="10" width="9.00390625" style="0" customWidth="1"/>
    <col min="11" max="11" width="8.75390625" style="0" customWidth="1"/>
    <col min="12" max="12" width="8.125" style="0" customWidth="1"/>
    <col min="13" max="13" width="8.25390625" style="0" customWidth="1"/>
    <col min="14" max="14" width="8.75390625" style="0" customWidth="1"/>
    <col min="15" max="15" width="8.25390625" style="0" customWidth="1"/>
    <col min="16" max="16" width="8.875" style="0" customWidth="1"/>
    <col min="17" max="17" width="9.875" style="0" customWidth="1"/>
    <col min="18" max="18" width="9.125" style="0" hidden="1" customWidth="1"/>
  </cols>
  <sheetData>
    <row r="1" spans="2:23" ht="12.75" customHeight="1">
      <c r="B1" s="108" t="s">
        <v>7</v>
      </c>
      <c r="C1" s="108"/>
      <c r="D1" s="108"/>
      <c r="E1" s="108"/>
      <c r="F1" s="108"/>
      <c r="G1" s="10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2:23" ht="12.75" customHeight="1">
      <c r="B2" s="108" t="s">
        <v>57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40"/>
      <c r="R2" s="4"/>
      <c r="S2" s="4"/>
      <c r="T2" s="4"/>
      <c r="U2" s="4"/>
      <c r="V2" s="4"/>
      <c r="W2" s="4"/>
    </row>
    <row r="3" spans="2:23" ht="12.75" customHeight="1">
      <c r="B3" s="40"/>
      <c r="C3" s="40"/>
      <c r="D3" s="40"/>
      <c r="E3" s="40"/>
      <c r="F3" s="40"/>
      <c r="G3" s="4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ht="12.75" customHeight="1">
      <c r="B4" s="107" t="s">
        <v>0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3"/>
      <c r="T4" s="3"/>
      <c r="U4" s="3"/>
      <c r="V4" s="3"/>
      <c r="W4" s="3"/>
    </row>
    <row r="5" spans="2:23" ht="25.5" customHeight="1">
      <c r="B5" s="106" t="s">
        <v>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2"/>
      <c r="T5" s="2"/>
      <c r="U5" s="2"/>
      <c r="V5" s="2"/>
      <c r="W5" s="2"/>
    </row>
    <row r="6" spans="2:23" ht="15.75" customHeight="1" thickBot="1">
      <c r="B6" s="106" t="s">
        <v>49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2"/>
      <c r="T6" s="2"/>
      <c r="U6" s="2"/>
      <c r="V6" s="2"/>
      <c r="W6" s="2"/>
    </row>
    <row r="7" spans="2:23" ht="16.5" customHeight="1" hidden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  <c r="V7" s="2"/>
      <c r="W7" s="2"/>
    </row>
    <row r="8" spans="1:23" ht="35.25" customHeight="1" thickBot="1">
      <c r="A8" s="37" t="s">
        <v>24</v>
      </c>
      <c r="B8" s="27" t="s">
        <v>6</v>
      </c>
      <c r="C8" s="57" t="s">
        <v>50</v>
      </c>
      <c r="D8" s="57" t="s">
        <v>59</v>
      </c>
      <c r="E8" s="63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5" t="s">
        <v>18</v>
      </c>
      <c r="N8" s="5" t="s">
        <v>19</v>
      </c>
      <c r="O8" s="5" t="s">
        <v>21</v>
      </c>
      <c r="P8" s="14" t="s">
        <v>20</v>
      </c>
      <c r="Q8" s="57" t="s">
        <v>62</v>
      </c>
      <c r="R8" s="61" t="s">
        <v>63</v>
      </c>
      <c r="S8" s="1"/>
      <c r="T8" s="1"/>
      <c r="U8" s="1"/>
      <c r="V8" s="1"/>
      <c r="W8" s="1"/>
    </row>
    <row r="9" spans="1:18" ht="13.5" thickBot="1">
      <c r="A9" s="99" t="s">
        <v>25</v>
      </c>
      <c r="B9" s="28" t="s">
        <v>1</v>
      </c>
      <c r="C9" s="85">
        <v>45316.8</v>
      </c>
      <c r="D9" s="96">
        <v>67975.2</v>
      </c>
      <c r="E9" s="8">
        <v>5664.6</v>
      </c>
      <c r="F9" s="6">
        <v>5664.6</v>
      </c>
      <c r="G9" s="7">
        <v>5664.6</v>
      </c>
      <c r="H9" s="7">
        <v>5664.6</v>
      </c>
      <c r="I9" s="7">
        <v>5664.6</v>
      </c>
      <c r="J9" s="7">
        <v>5664.6</v>
      </c>
      <c r="K9" s="7">
        <v>5664.6</v>
      </c>
      <c r="L9" s="7">
        <v>5664.6</v>
      </c>
      <c r="M9" s="7">
        <v>5664.6</v>
      </c>
      <c r="N9" s="7">
        <v>5664.6</v>
      </c>
      <c r="O9" s="7">
        <v>5664.6</v>
      </c>
      <c r="P9" s="15">
        <v>5664.6</v>
      </c>
      <c r="Q9" s="67">
        <f>SUM(E9:P9)</f>
        <v>67975.2</v>
      </c>
      <c r="R9" s="103">
        <f>SUM(C9:P9)</f>
        <v>181267.20000000007</v>
      </c>
    </row>
    <row r="10" spans="1:18" ht="13.5" thickBot="1">
      <c r="A10" s="99"/>
      <c r="B10" s="28" t="s">
        <v>64</v>
      </c>
      <c r="C10" s="85"/>
      <c r="D10" s="97">
        <v>0</v>
      </c>
      <c r="E10" s="8">
        <f>300.85+17.27+103.44</f>
        <v>421.56</v>
      </c>
      <c r="F10" s="6">
        <f>300.85+17.27+103.44</f>
        <v>421.56</v>
      </c>
      <c r="G10" s="7">
        <f>300.85+17.27+103.44</f>
        <v>421.56</v>
      </c>
      <c r="H10" s="7">
        <f>300.85+17.27+103.44</f>
        <v>421.56</v>
      </c>
      <c r="I10" s="7">
        <f>300.85+17.27+103.44</f>
        <v>421.56</v>
      </c>
      <c r="J10" s="7">
        <f>655.37+16.36+18.15+71.1</f>
        <v>760.98</v>
      </c>
      <c r="K10" s="7">
        <f>16.53+18.4+73.58-468.97</f>
        <v>-360.46000000000004</v>
      </c>
      <c r="L10" s="7">
        <f>93.1+16.53+18.4+73.58</f>
        <v>201.61</v>
      </c>
      <c r="M10" s="7">
        <f>93.1+16.53+18.4+73.58</f>
        <v>201.61</v>
      </c>
      <c r="N10" s="7">
        <f>93.1+16.53+18.4+73.58</f>
        <v>201.61</v>
      </c>
      <c r="O10" s="7">
        <f>93.1+16.53+18.4+73.58</f>
        <v>201.61</v>
      </c>
      <c r="P10" s="15">
        <f>93.1+16.53+18.4+73.58</f>
        <v>201.61</v>
      </c>
      <c r="Q10" s="67">
        <f>SUM(E10:P10)</f>
        <v>3516.370000000001</v>
      </c>
      <c r="R10" s="103">
        <f>SUM(C10:P10)</f>
        <v>3516.370000000001</v>
      </c>
    </row>
    <row r="11" spans="1:18" ht="12.75">
      <c r="A11" s="99" t="s">
        <v>26</v>
      </c>
      <c r="B11" s="29" t="s">
        <v>2</v>
      </c>
      <c r="C11" s="86">
        <v>36370.18</v>
      </c>
      <c r="D11" s="98">
        <v>62216.38</v>
      </c>
      <c r="E11" s="8">
        <v>5639.3</v>
      </c>
      <c r="F11" s="8">
        <v>5198.76</v>
      </c>
      <c r="G11" s="9">
        <v>6392.58</v>
      </c>
      <c r="H11" s="9">
        <v>5866.33</v>
      </c>
      <c r="I11" s="9">
        <v>5198.76</v>
      </c>
      <c r="J11" s="9">
        <v>5199.76</v>
      </c>
      <c r="K11" s="9">
        <v>6452.16</v>
      </c>
      <c r="L11" s="9">
        <v>4025.77</v>
      </c>
      <c r="M11" s="9">
        <v>4755.92</v>
      </c>
      <c r="N11" s="9">
        <v>5751.75</v>
      </c>
      <c r="O11" s="9">
        <v>4793.37</v>
      </c>
      <c r="P11" s="16">
        <v>9410.22</v>
      </c>
      <c r="Q11" s="68">
        <f>SUM(E11:P11)</f>
        <v>68684.68000000001</v>
      </c>
      <c r="R11" s="103">
        <f>SUM(C11:P11)</f>
        <v>167271.24</v>
      </c>
    </row>
    <row r="12" spans="1:18" ht="15" customHeight="1" thickBot="1">
      <c r="A12" s="99" t="s">
        <v>27</v>
      </c>
      <c r="B12" s="30" t="s">
        <v>47</v>
      </c>
      <c r="C12" s="87">
        <f>SUM(C11/C9*100)</f>
        <v>80.257608657275</v>
      </c>
      <c r="D12" s="66">
        <f>SUM(D11/D9*100)</f>
        <v>91.52805729148278</v>
      </c>
      <c r="E12" s="65">
        <f>SUM(E11/E9*100)</f>
        <v>99.55336652190798</v>
      </c>
      <c r="F12" s="20">
        <f aca="true" t="shared" si="0" ref="F12:Q12">SUM(F11/F9*100)</f>
        <v>91.77629488401652</v>
      </c>
      <c r="G12" s="20">
        <f t="shared" si="0"/>
        <v>112.85139286092574</v>
      </c>
      <c r="H12" s="20">
        <f t="shared" si="0"/>
        <v>103.56123998164036</v>
      </c>
      <c r="I12" s="20">
        <f t="shared" si="0"/>
        <v>91.77629488401652</v>
      </c>
      <c r="J12" s="20">
        <f t="shared" si="0"/>
        <v>91.7939483811743</v>
      </c>
      <c r="K12" s="20">
        <f t="shared" si="0"/>
        <v>113.90318822158669</v>
      </c>
      <c r="L12" s="20">
        <f t="shared" si="0"/>
        <v>71.068919252904</v>
      </c>
      <c r="M12" s="20">
        <f t="shared" si="0"/>
        <v>83.95862020266215</v>
      </c>
      <c r="N12" s="20">
        <f t="shared" si="0"/>
        <v>101.53850227730112</v>
      </c>
      <c r="O12" s="20">
        <f t="shared" si="0"/>
        <v>84.61974367122126</v>
      </c>
      <c r="P12" s="52">
        <f t="shared" si="0"/>
        <v>166.12329202414998</v>
      </c>
      <c r="Q12" s="66">
        <f t="shared" si="0"/>
        <v>101.0437335969589</v>
      </c>
      <c r="R12" s="104">
        <f>SUM(R11/R9*100)</f>
        <v>92.27882374748434</v>
      </c>
    </row>
    <row r="13" spans="1:18" ht="13.5" thickBot="1">
      <c r="A13" s="99" t="s">
        <v>28</v>
      </c>
      <c r="B13" s="31" t="s">
        <v>3</v>
      </c>
      <c r="C13" s="17">
        <f>SUM(C14:C24)</f>
        <v>28161.38</v>
      </c>
      <c r="D13" s="95" t="s">
        <v>61</v>
      </c>
      <c r="E13" s="10">
        <f>SUM(E14:E24)</f>
        <v>5151.39</v>
      </c>
      <c r="F13" s="10">
        <f aca="true" t="shared" si="1" ref="F13:P13">SUM(F14:F24)</f>
        <v>4636.000000000001</v>
      </c>
      <c r="G13" s="10">
        <f t="shared" si="1"/>
        <v>5168.760000000001</v>
      </c>
      <c r="H13" s="10">
        <f t="shared" si="1"/>
        <v>4967.560000000001</v>
      </c>
      <c r="I13" s="10">
        <f t="shared" si="1"/>
        <v>7812.47</v>
      </c>
      <c r="J13" s="10">
        <f t="shared" si="1"/>
        <v>5276.67</v>
      </c>
      <c r="K13" s="10">
        <f t="shared" si="1"/>
        <v>4440.31</v>
      </c>
      <c r="L13" s="10">
        <f t="shared" si="1"/>
        <v>4884.59</v>
      </c>
      <c r="M13" s="10">
        <f t="shared" si="1"/>
        <v>5293.48</v>
      </c>
      <c r="N13" s="10">
        <f t="shared" si="1"/>
        <v>4801.96</v>
      </c>
      <c r="O13" s="10">
        <f t="shared" si="1"/>
        <v>4859.65</v>
      </c>
      <c r="P13" s="17">
        <f t="shared" si="1"/>
        <v>5146.34</v>
      </c>
      <c r="Q13" s="58">
        <f>SUM(E13:P13)</f>
        <v>62439.17999999999</v>
      </c>
      <c r="R13" s="105">
        <f>SUM(E13:P13)+2265.84</f>
        <v>64705.01999999999</v>
      </c>
    </row>
    <row r="14" spans="1:18" ht="13.5" thickBot="1">
      <c r="A14" s="99" t="s">
        <v>29</v>
      </c>
      <c r="B14" s="32" t="s">
        <v>5</v>
      </c>
      <c r="C14" s="88" t="s">
        <v>58</v>
      </c>
      <c r="D14" s="84" t="s">
        <v>60</v>
      </c>
      <c r="E14" s="43">
        <f>1113+13.87</f>
        <v>1126.87</v>
      </c>
      <c r="F14" s="43">
        <f>1113+65.19</f>
        <v>1178.19</v>
      </c>
      <c r="G14" s="44">
        <f>1113+38.28</f>
        <v>1151.28</v>
      </c>
      <c r="H14" s="44">
        <f>1113+121.31</f>
        <v>1234.31</v>
      </c>
      <c r="I14" s="44">
        <f>1113+60.55</f>
        <v>1173.55</v>
      </c>
      <c r="J14" s="44">
        <f>1113+37.01</f>
        <v>1150.01</v>
      </c>
      <c r="K14" s="44">
        <f>1113+58.31</f>
        <v>1171.31</v>
      </c>
      <c r="L14" s="44">
        <f>1113+67.8</f>
        <v>1180.8</v>
      </c>
      <c r="M14" s="44">
        <f>1113+70.13</f>
        <v>1183.13</v>
      </c>
      <c r="N14" s="44">
        <f>1113+72.9</f>
        <v>1185.9</v>
      </c>
      <c r="O14" s="44">
        <f>1113+63.71</f>
        <v>1176.71</v>
      </c>
      <c r="P14" s="45">
        <f>1113+63.83</f>
        <v>1176.83</v>
      </c>
      <c r="Q14" s="69">
        <f aca="true" t="shared" si="2" ref="Q14:Q26">SUM(E14:P14)</f>
        <v>14088.890000000001</v>
      </c>
      <c r="R14" s="103">
        <f aca="true" t="shared" si="3" ref="R14:R24">SUM(C14:P14)</f>
        <v>14088.890000000001</v>
      </c>
    </row>
    <row r="15" spans="1:18" ht="12.75" customHeight="1" thickBot="1">
      <c r="A15" s="99" t="s">
        <v>30</v>
      </c>
      <c r="B15" s="33" t="s">
        <v>51</v>
      </c>
      <c r="C15" s="89">
        <v>619.51</v>
      </c>
      <c r="D15" s="82">
        <v>40.23</v>
      </c>
      <c r="E15" s="46"/>
      <c r="F15" s="46"/>
      <c r="G15" s="47"/>
      <c r="H15" s="47"/>
      <c r="I15" s="47"/>
      <c r="J15" s="47"/>
      <c r="K15" s="47"/>
      <c r="L15" s="47"/>
      <c r="M15" s="47"/>
      <c r="N15" s="47"/>
      <c r="O15" s="47"/>
      <c r="P15" s="48"/>
      <c r="Q15" s="58">
        <f t="shared" si="2"/>
        <v>0</v>
      </c>
      <c r="R15" s="103">
        <f t="shared" si="3"/>
        <v>659.74</v>
      </c>
    </row>
    <row r="16" spans="1:18" ht="13.5" customHeight="1" thickBot="1">
      <c r="A16" s="99" t="s">
        <v>31</v>
      </c>
      <c r="B16" s="33" t="s">
        <v>52</v>
      </c>
      <c r="C16" s="89">
        <v>0</v>
      </c>
      <c r="D16" s="82">
        <v>6034.67</v>
      </c>
      <c r="E16" s="46"/>
      <c r="F16" s="46"/>
      <c r="G16" s="47"/>
      <c r="H16" s="47"/>
      <c r="I16" s="47">
        <v>2165.5</v>
      </c>
      <c r="J16" s="47"/>
      <c r="K16" s="47"/>
      <c r="L16" s="47">
        <v>95</v>
      </c>
      <c r="M16" s="47">
        <v>570</v>
      </c>
      <c r="N16" s="47"/>
      <c r="O16" s="47"/>
      <c r="P16" s="48">
        <v>360</v>
      </c>
      <c r="Q16" s="58">
        <f t="shared" si="2"/>
        <v>3190.5</v>
      </c>
      <c r="R16" s="103">
        <f t="shared" si="3"/>
        <v>9225.17</v>
      </c>
    </row>
    <row r="17" spans="1:18" ht="21.75" customHeight="1" thickBot="1">
      <c r="A17" s="99" t="s">
        <v>32</v>
      </c>
      <c r="B17" s="33" t="s">
        <v>45</v>
      </c>
      <c r="C17" s="89">
        <v>0</v>
      </c>
      <c r="D17" s="82">
        <v>510</v>
      </c>
      <c r="E17" s="46">
        <v>268.15</v>
      </c>
      <c r="F17" s="46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58">
        <f t="shared" si="2"/>
        <v>268.15</v>
      </c>
      <c r="R17" s="103">
        <f t="shared" si="3"/>
        <v>778.15</v>
      </c>
    </row>
    <row r="18" spans="1:18" ht="15.75" customHeight="1" thickBot="1">
      <c r="A18" s="99" t="s">
        <v>65</v>
      </c>
      <c r="B18" s="33" t="s">
        <v>66</v>
      </c>
      <c r="C18" s="89"/>
      <c r="D18" s="82"/>
      <c r="E18" s="46">
        <v>300.85</v>
      </c>
      <c r="F18" s="46">
        <v>300.85</v>
      </c>
      <c r="G18" s="47">
        <v>300.85</v>
      </c>
      <c r="H18" s="47">
        <v>300.85</v>
      </c>
      <c r="I18" s="47">
        <v>300.85</v>
      </c>
      <c r="J18" s="47">
        <v>655.37</v>
      </c>
      <c r="K18" s="47">
        <v>-468.97</v>
      </c>
      <c r="L18" s="47">
        <v>93.1</v>
      </c>
      <c r="M18" s="47">
        <v>93.1</v>
      </c>
      <c r="N18" s="47">
        <v>93.1</v>
      </c>
      <c r="O18" s="47">
        <v>93.1</v>
      </c>
      <c r="P18" s="48">
        <v>93.1</v>
      </c>
      <c r="Q18" s="58">
        <f>SUM(E18:P18)</f>
        <v>2156.1499999999996</v>
      </c>
      <c r="R18" s="103">
        <f>SUM(C18:P18)</f>
        <v>2156.1499999999996</v>
      </c>
    </row>
    <row r="19" spans="1:18" ht="15.75" customHeight="1" thickBot="1">
      <c r="A19" s="99" t="s">
        <v>33</v>
      </c>
      <c r="B19" s="33" t="s">
        <v>67</v>
      </c>
      <c r="C19" s="89"/>
      <c r="D19" s="82"/>
      <c r="E19" s="46"/>
      <c r="F19" s="46"/>
      <c r="G19" s="47">
        <f>206.88+103.44</f>
        <v>310.32</v>
      </c>
      <c r="H19" s="47">
        <v>103.44</v>
      </c>
      <c r="I19" s="47">
        <v>103.44</v>
      </c>
      <c r="J19" s="47">
        <v>64.51</v>
      </c>
      <c r="K19" s="47">
        <v>45.04</v>
      </c>
      <c r="L19" s="47">
        <v>73.58</v>
      </c>
      <c r="M19" s="47">
        <v>73.57</v>
      </c>
      <c r="N19" s="47">
        <v>73.57</v>
      </c>
      <c r="O19" s="47">
        <v>73.57</v>
      </c>
      <c r="P19" s="48">
        <v>73.57</v>
      </c>
      <c r="Q19" s="58">
        <f>SUM(E19:P19)</f>
        <v>994.6099999999999</v>
      </c>
      <c r="R19" s="103">
        <f>SUM(C19:P19)</f>
        <v>994.6099999999999</v>
      </c>
    </row>
    <row r="20" spans="1:18" ht="36" customHeight="1" thickBot="1">
      <c r="A20" s="99" t="s">
        <v>34</v>
      </c>
      <c r="B20" s="33" t="s">
        <v>53</v>
      </c>
      <c r="C20" s="89">
        <v>1719.06</v>
      </c>
      <c r="D20" s="82">
        <v>2801.49</v>
      </c>
      <c r="E20" s="46">
        <v>235.5</v>
      </c>
      <c r="F20" s="46">
        <v>220.2</v>
      </c>
      <c r="G20" s="47">
        <v>273.74</v>
      </c>
      <c r="H20" s="47">
        <v>203.44</v>
      </c>
      <c r="I20" s="47">
        <v>216.66</v>
      </c>
      <c r="J20" s="47">
        <v>243.65</v>
      </c>
      <c r="K20" s="47">
        <v>197.47</v>
      </c>
      <c r="L20" s="47">
        <v>228.41</v>
      </c>
      <c r="M20" s="47">
        <v>214.85</v>
      </c>
      <c r="N20" s="47">
        <v>274.11</v>
      </c>
      <c r="O20" s="47">
        <v>283.54</v>
      </c>
      <c r="P20" s="48">
        <v>234.3</v>
      </c>
      <c r="Q20" s="69">
        <f t="shared" si="2"/>
        <v>2825.8700000000003</v>
      </c>
      <c r="R20" s="103">
        <f t="shared" si="3"/>
        <v>7346.419999999998</v>
      </c>
    </row>
    <row r="21" spans="1:18" ht="27.75" customHeight="1" thickBot="1">
      <c r="A21" s="99" t="s">
        <v>35</v>
      </c>
      <c r="B21" s="33" t="s">
        <v>54</v>
      </c>
      <c r="C21" s="89">
        <v>306.57</v>
      </c>
      <c r="D21" s="82">
        <v>395.71</v>
      </c>
      <c r="E21" s="46">
        <v>51.75</v>
      </c>
      <c r="F21" s="46">
        <v>15.92</v>
      </c>
      <c r="G21" s="47">
        <v>17.09</v>
      </c>
      <c r="H21" s="47">
        <v>15.81</v>
      </c>
      <c r="I21" s="47">
        <v>15.34</v>
      </c>
      <c r="J21" s="47">
        <v>23.85</v>
      </c>
      <c r="K21" s="47">
        <v>22.41</v>
      </c>
      <c r="L21" s="47">
        <v>68.98</v>
      </c>
      <c r="M21" s="47">
        <v>16.1</v>
      </c>
      <c r="N21" s="47">
        <v>23.81</v>
      </c>
      <c r="O21" s="47">
        <v>16.1</v>
      </c>
      <c r="P21" s="48">
        <v>21.95</v>
      </c>
      <c r="Q21" s="58">
        <f t="shared" si="2"/>
        <v>309.11</v>
      </c>
      <c r="R21" s="103">
        <f t="shared" si="3"/>
        <v>1011.39</v>
      </c>
    </row>
    <row r="22" spans="1:18" ht="33" customHeight="1" thickBot="1">
      <c r="A22" s="99" t="s">
        <v>36</v>
      </c>
      <c r="B22" s="33" t="s">
        <v>55</v>
      </c>
      <c r="C22" s="89">
        <v>2211.44</v>
      </c>
      <c r="D22" s="82">
        <v>2894.37</v>
      </c>
      <c r="E22" s="46">
        <f>10.38+72.3+118.35</f>
        <v>201.02999999999997</v>
      </c>
      <c r="F22" s="46">
        <f>10.33+85.67+72.57</f>
        <v>168.57</v>
      </c>
      <c r="G22" s="47">
        <f>10.18+95.22+127.46</f>
        <v>232.86</v>
      </c>
      <c r="H22" s="47">
        <f>9.61+87.28+122.68</f>
        <v>219.57</v>
      </c>
      <c r="I22" s="47">
        <f>9.87+105.84+300.13</f>
        <v>415.84000000000003</v>
      </c>
      <c r="J22" s="47">
        <f>145.82+11.58+86.67</f>
        <v>244.07</v>
      </c>
      <c r="K22" s="47">
        <f>12.67+76.28+136.18</f>
        <v>225.13</v>
      </c>
      <c r="L22" s="47">
        <f>13.74+70.38+162.31</f>
        <v>246.43</v>
      </c>
      <c r="M22" s="47">
        <f>139.35+11.05+89.26</f>
        <v>239.66000000000003</v>
      </c>
      <c r="N22" s="47">
        <f>14.19+100.88+147.16</f>
        <v>262.23</v>
      </c>
      <c r="O22" s="47">
        <f>13.02+117.55+232.29</f>
        <v>362.86</v>
      </c>
      <c r="P22" s="48">
        <f>13.42+118.44+98.55</f>
        <v>230.40999999999997</v>
      </c>
      <c r="Q22" s="69">
        <f t="shared" si="2"/>
        <v>3048.66</v>
      </c>
      <c r="R22" s="103">
        <f t="shared" si="3"/>
        <v>8154.469999999998</v>
      </c>
    </row>
    <row r="23" spans="1:18" ht="15.75" customHeight="1" thickBot="1">
      <c r="A23" s="99" t="s">
        <v>37</v>
      </c>
      <c r="B23" s="33" t="s">
        <v>8</v>
      </c>
      <c r="C23" s="89">
        <v>21931.46</v>
      </c>
      <c r="D23" s="82">
        <v>31709.33</v>
      </c>
      <c r="E23" s="46">
        <f>5151.39-2397.08</f>
        <v>2754.3100000000004</v>
      </c>
      <c r="F23" s="46">
        <f>4636-2080.04</f>
        <v>2555.96</v>
      </c>
      <c r="G23" s="47">
        <f>5168.76-2527.53</f>
        <v>2641.23</v>
      </c>
      <c r="H23" s="47">
        <f>4967.56-2298.93</f>
        <v>2668.6300000000006</v>
      </c>
      <c r="I23" s="47">
        <f>591.39+118.42+2181.08+334.09</f>
        <v>3224.98</v>
      </c>
      <c r="J23" s="47">
        <f>5276.67-2577.81</f>
        <v>2698.86</v>
      </c>
      <c r="K23" s="47">
        <f>4440.31-1436.02</f>
        <v>3004.2900000000004</v>
      </c>
      <c r="L23" s="47">
        <f>4884.59-2138.31</f>
        <v>2746.28</v>
      </c>
      <c r="M23" s="47">
        <f>5293.48-2570</f>
        <v>2723.4799999999996</v>
      </c>
      <c r="N23" s="47">
        <f>4801.96-2129.9</f>
        <v>2672.06</v>
      </c>
      <c r="O23" s="47">
        <f>4859.65-2186.87</f>
        <v>2672.7799999999997</v>
      </c>
      <c r="P23" s="73">
        <f>5181.21-2580.36</f>
        <v>2600.85</v>
      </c>
      <c r="Q23" s="58">
        <f t="shared" si="2"/>
        <v>32963.71</v>
      </c>
      <c r="R23" s="103">
        <f t="shared" si="3"/>
        <v>86604.49999999999</v>
      </c>
    </row>
    <row r="24" spans="1:18" ht="13.5" customHeight="1" thickBot="1">
      <c r="A24" s="99" t="s">
        <v>46</v>
      </c>
      <c r="B24" s="34" t="s">
        <v>4</v>
      </c>
      <c r="C24" s="90">
        <v>1373.34</v>
      </c>
      <c r="D24" s="41">
        <v>2349.29</v>
      </c>
      <c r="E24" s="49">
        <v>212.93</v>
      </c>
      <c r="F24" s="49">
        <f>13.6+182.71</f>
        <v>196.31</v>
      </c>
      <c r="G24" s="50">
        <f>14.79+226.6</f>
        <v>241.39</v>
      </c>
      <c r="H24" s="50">
        <f>15.45+206.06</f>
        <v>221.51</v>
      </c>
      <c r="I24" s="50">
        <f>13.6+182.71</f>
        <v>196.31</v>
      </c>
      <c r="J24" s="50">
        <f>13.6+182.75</f>
        <v>196.35</v>
      </c>
      <c r="K24" s="50">
        <f>28.76+214.87</f>
        <v>243.63</v>
      </c>
      <c r="L24" s="50">
        <f>2.86+149.15</f>
        <v>152.01000000000002</v>
      </c>
      <c r="M24" s="50">
        <f>3.36+176.23</f>
        <v>179.59</v>
      </c>
      <c r="N24" s="50">
        <f>4.08+213.1</f>
        <v>217.18</v>
      </c>
      <c r="O24" s="51">
        <f>3.4+177.59</f>
        <v>180.99</v>
      </c>
      <c r="P24" s="73">
        <f>4.33+351</f>
        <v>355.33</v>
      </c>
      <c r="Q24" s="58">
        <f t="shared" si="2"/>
        <v>2593.5299999999997</v>
      </c>
      <c r="R24" s="103">
        <f t="shared" si="3"/>
        <v>6316.160000000002</v>
      </c>
    </row>
    <row r="25" spans="1:18" ht="16.5" customHeight="1" thickBot="1">
      <c r="A25" s="99"/>
      <c r="B25" s="42" t="s">
        <v>48</v>
      </c>
      <c r="C25" s="91">
        <f>C9*5%</f>
        <v>2265.84</v>
      </c>
      <c r="D25" s="71">
        <f>D9*5%</f>
        <v>3398.76</v>
      </c>
      <c r="E25" s="74">
        <f>E9*5%</f>
        <v>283.23</v>
      </c>
      <c r="F25" s="76">
        <f aca="true" t="shared" si="4" ref="F25:P25">F9*5%</f>
        <v>283.23</v>
      </c>
      <c r="G25" s="74">
        <f t="shared" si="4"/>
        <v>283.23</v>
      </c>
      <c r="H25" s="76">
        <f t="shared" si="4"/>
        <v>283.23</v>
      </c>
      <c r="I25" s="74">
        <f t="shared" si="4"/>
        <v>283.23</v>
      </c>
      <c r="J25" s="76">
        <f t="shared" si="4"/>
        <v>283.23</v>
      </c>
      <c r="K25" s="74">
        <f t="shared" si="4"/>
        <v>283.23</v>
      </c>
      <c r="L25" s="76">
        <f t="shared" si="4"/>
        <v>283.23</v>
      </c>
      <c r="M25" s="74">
        <f t="shared" si="4"/>
        <v>283.23</v>
      </c>
      <c r="N25" s="76">
        <f t="shared" si="4"/>
        <v>283.23</v>
      </c>
      <c r="O25" s="74">
        <f t="shared" si="4"/>
        <v>283.23</v>
      </c>
      <c r="P25" s="76">
        <f t="shared" si="4"/>
        <v>283.23</v>
      </c>
      <c r="Q25" s="71">
        <f t="shared" si="2"/>
        <v>3398.76</v>
      </c>
      <c r="R25" s="105"/>
    </row>
    <row r="26" spans="1:18" ht="15" customHeight="1" thickBot="1">
      <c r="A26" s="100" t="s">
        <v>38</v>
      </c>
      <c r="B26" s="62" t="s">
        <v>44</v>
      </c>
      <c r="C26" s="92"/>
      <c r="D26" s="83"/>
      <c r="E26" s="75">
        <f aca="true" t="shared" si="5" ref="E26:P26">SUM(E9+E10-E13)-E25</f>
        <v>651.5400000000004</v>
      </c>
      <c r="F26" s="71">
        <f t="shared" si="5"/>
        <v>1166.9299999999998</v>
      </c>
      <c r="G26" s="75">
        <f t="shared" si="5"/>
        <v>634.1699999999996</v>
      </c>
      <c r="H26" s="71">
        <f t="shared" si="5"/>
        <v>835.3699999999994</v>
      </c>
      <c r="I26" s="75">
        <f t="shared" si="5"/>
        <v>-2009.5399999999995</v>
      </c>
      <c r="J26" s="71">
        <f t="shared" si="5"/>
        <v>865.6799999999998</v>
      </c>
      <c r="K26" s="75">
        <f t="shared" si="5"/>
        <v>580.5999999999999</v>
      </c>
      <c r="L26" s="71">
        <f t="shared" si="5"/>
        <v>698.3899999999999</v>
      </c>
      <c r="M26" s="75">
        <f t="shared" si="5"/>
        <v>289.50000000000045</v>
      </c>
      <c r="N26" s="71">
        <f t="shared" si="5"/>
        <v>781.02</v>
      </c>
      <c r="O26" s="75">
        <f t="shared" si="5"/>
        <v>723.3300000000004</v>
      </c>
      <c r="P26" s="71">
        <f t="shared" si="5"/>
        <v>436.6399999999999</v>
      </c>
      <c r="Q26" s="72">
        <f t="shared" si="2"/>
        <v>5653.629999999999</v>
      </c>
      <c r="R26" s="70"/>
    </row>
    <row r="27" spans="1:18" ht="22.5" customHeight="1" thickBot="1">
      <c r="A27" s="101" t="s">
        <v>39</v>
      </c>
      <c r="B27" s="78" t="s">
        <v>22</v>
      </c>
      <c r="C27" s="93">
        <v>12171.91</v>
      </c>
      <c r="D27" s="71">
        <f>SUM(D9-D13)-D25</f>
        <v>3563.7699999999986</v>
      </c>
      <c r="E27" s="79">
        <f>SUM(E9+E10-E13)-E25</f>
        <v>651.5400000000004</v>
      </c>
      <c r="F27" s="71">
        <f>SUM(F26+E27)</f>
        <v>1818.4700000000003</v>
      </c>
      <c r="G27" s="79">
        <f aca="true" t="shared" si="6" ref="G27:P27">SUM(G26+F27)</f>
        <v>2452.64</v>
      </c>
      <c r="H27" s="71">
        <f t="shared" si="6"/>
        <v>3288.0099999999993</v>
      </c>
      <c r="I27" s="79">
        <f t="shared" si="6"/>
        <v>1278.4699999999998</v>
      </c>
      <c r="J27" s="71">
        <f t="shared" si="6"/>
        <v>2144.1499999999996</v>
      </c>
      <c r="K27" s="79">
        <f t="shared" si="6"/>
        <v>2724.7499999999995</v>
      </c>
      <c r="L27" s="71">
        <f t="shared" si="6"/>
        <v>3423.1399999999994</v>
      </c>
      <c r="M27" s="79">
        <f t="shared" si="6"/>
        <v>3712.64</v>
      </c>
      <c r="N27" s="71">
        <f t="shared" si="6"/>
        <v>4493.66</v>
      </c>
      <c r="O27" s="79">
        <f t="shared" si="6"/>
        <v>5216.99</v>
      </c>
      <c r="P27" s="71">
        <f t="shared" si="6"/>
        <v>5653.629999999999</v>
      </c>
      <c r="Q27" s="58"/>
      <c r="R27" s="54"/>
    </row>
    <row r="28" spans="1:18" ht="24.75" customHeight="1" hidden="1" thickBot="1">
      <c r="A28" s="102" t="s">
        <v>40</v>
      </c>
      <c r="B28" s="77" t="s">
        <v>23</v>
      </c>
      <c r="C28" s="94">
        <v>12171.91</v>
      </c>
      <c r="D28" s="71">
        <f>SUM(D27+C28)</f>
        <v>15735.679999999998</v>
      </c>
      <c r="E28" s="71">
        <f>SUM(E27+D28)</f>
        <v>16387.219999999998</v>
      </c>
      <c r="F28" s="71">
        <f>SUM(F26+E28)</f>
        <v>17554.149999999998</v>
      </c>
      <c r="G28" s="71">
        <f>SUM(G26+F28)</f>
        <v>18188.319999999996</v>
      </c>
      <c r="H28" s="71">
        <f>SUM(H26+G28)</f>
        <v>19023.689999999995</v>
      </c>
      <c r="I28" s="71">
        <f aca="true" t="shared" si="7" ref="I28:P28">SUM(I26+H28)</f>
        <v>17014.149999999994</v>
      </c>
      <c r="J28" s="71">
        <f t="shared" si="7"/>
        <v>17879.829999999994</v>
      </c>
      <c r="K28" s="71">
        <f t="shared" si="7"/>
        <v>18460.429999999993</v>
      </c>
      <c r="L28" s="71">
        <f t="shared" si="7"/>
        <v>19158.819999999992</v>
      </c>
      <c r="M28" s="71">
        <f t="shared" si="7"/>
        <v>19448.319999999992</v>
      </c>
      <c r="N28" s="71">
        <f t="shared" si="7"/>
        <v>20229.339999999993</v>
      </c>
      <c r="O28" s="71">
        <f t="shared" si="7"/>
        <v>20952.669999999995</v>
      </c>
      <c r="P28" s="71">
        <f t="shared" si="7"/>
        <v>21389.309999999994</v>
      </c>
      <c r="Q28" s="59"/>
      <c r="R28" s="53"/>
    </row>
    <row r="29" spans="1:18" ht="27.75" customHeight="1" hidden="1" thickBot="1">
      <c r="A29" s="38" t="s">
        <v>40</v>
      </c>
      <c r="B29" s="41"/>
      <c r="C29" s="80"/>
      <c r="D29" s="80"/>
      <c r="E29" s="11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8"/>
      <c r="Q29" s="59"/>
      <c r="R29" s="55"/>
    </row>
    <row r="30" spans="1:18" ht="24" customHeight="1" hidden="1" thickBot="1">
      <c r="A30" s="38" t="s">
        <v>41</v>
      </c>
      <c r="B30" s="35"/>
      <c r="C30" s="80"/>
      <c r="D30" s="80"/>
      <c r="E30" s="13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9"/>
      <c r="Q30" s="59"/>
      <c r="R30" s="55"/>
    </row>
    <row r="31" spans="1:18" ht="18" customHeight="1" hidden="1" thickBot="1">
      <c r="A31" s="39" t="s">
        <v>42</v>
      </c>
      <c r="B31" s="36"/>
      <c r="C31" s="81"/>
      <c r="D31" s="81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60"/>
      <c r="R31" s="56"/>
    </row>
    <row r="32" spans="1:18" ht="18" customHeight="1" hidden="1" thickBot="1">
      <c r="A32" s="39" t="s">
        <v>43</v>
      </c>
      <c r="B32" s="36"/>
      <c r="C32" s="21"/>
      <c r="D32" s="21"/>
      <c r="E32" s="6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60"/>
      <c r="R32" s="56"/>
    </row>
    <row r="33" spans="2:18" ht="16.5" customHeight="1">
      <c r="B33" t="s">
        <v>56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</row>
    <row r="35" ht="12.75" hidden="1"/>
    <row r="36" ht="12.75" hidden="1"/>
    <row r="37" ht="12.75" hidden="1"/>
    <row r="42" ht="12.75" customHeight="1"/>
    <row r="43" ht="12.75" customHeight="1"/>
  </sheetData>
  <sheetProtection/>
  <mergeCells count="5">
    <mergeCell ref="B5:R5"/>
    <mergeCell ref="B6:R6"/>
    <mergeCell ref="B4:R4"/>
    <mergeCell ref="B1:G1"/>
    <mergeCell ref="B2:P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2018-02-02T08:01:54Z</cp:lastPrinted>
  <dcterms:created xsi:type="dcterms:W3CDTF">2011-06-16T11:06:26Z</dcterms:created>
  <dcterms:modified xsi:type="dcterms:W3CDTF">2018-02-12T06:18:44Z</dcterms:modified>
  <cp:category/>
  <cp:version/>
  <cp:contentType/>
  <cp:contentStatus/>
</cp:coreProperties>
</file>