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<sst xmlns="http://schemas.openxmlformats.org/spreadsheetml/2006/main" count="83" uniqueCount="83">
  <si>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</si>
  <si>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</si>
  <si>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</si>
  <si>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</si>
  <si>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</si>
  <si>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</si>
  <si>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</si>
  <si>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</si>
  <si>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</si>
  <si>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</si>
  <si>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</si>
  <si>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</si>
  <si>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</si>
  <si>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</si>
  <si>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</si>
  <si>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</si>
  <si>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</si>
  <si>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</si>
  <si>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</si>
  <si>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</si>
  <si>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</si>
  <si>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</si>
  <si>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</si>
  <si>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</si>
  <si>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</si>
  <si>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</si>
  <si>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</si>
  <si>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</si>
  <si>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</si>
  <si>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</si>
  <si>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</si>
  <si>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</si>
  <si>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</si>
  <si>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</si>
  <si>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</si>
  <si>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</si>
  <si>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</si>
  <si>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</si>
  <si>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</si>
  <si>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</si>
  <si>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</si>
  <si>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</si>
  <si>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4.11</t>
  </si>
  <si>
    <t>6</t>
  </si>
  <si>
    <t>7</t>
  </si>
  <si>
    <t>8</t>
  </si>
  <si>
    <t>9</t>
  </si>
  <si>
    <t>по жилому дому г. Унеча пер.Крупской д.7</t>
  </si>
  <si>
    <t>за 2009 г.</t>
  </si>
  <si>
    <t>за 2010 г.</t>
  </si>
  <si>
    <t>10</t>
  </si>
  <si>
    <t>Финансовый результат по дому с начала года</t>
  </si>
  <si>
    <t>Итого  за 2011 г</t>
  </si>
  <si>
    <t>Проверка дымовых каналов</t>
  </si>
  <si>
    <t>11</t>
  </si>
  <si>
    <t>Результат за месяц</t>
  </si>
  <si>
    <t xml:space="preserve">Дом по пер.Крупской д.7 вступил в ООО "Наш дом" в октябре 2009 года                   тариф 9,32 руб                                                                                   </t>
  </si>
  <si>
    <t>Благоустройство территории</t>
  </si>
  <si>
    <t>4.12</t>
  </si>
  <si>
    <t>4.13</t>
  </si>
  <si>
    <t>4.14</t>
  </si>
  <si>
    <t>5</t>
  </si>
  <si>
    <t xml:space="preserve">Материалы </t>
  </si>
  <si>
    <t>4.15</t>
  </si>
  <si>
    <t>Итого  за 2012 г</t>
  </si>
  <si>
    <t xml:space="preserve">%  оплаты </t>
  </si>
  <si>
    <t>Итого  за 2013 г</t>
  </si>
  <si>
    <t>Итого  за 2014 г</t>
  </si>
  <si>
    <t>рентабельность 5%</t>
  </si>
  <si>
    <t xml:space="preserve">ремонт крыши </t>
  </si>
  <si>
    <t>Итого 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</si>
  <si>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</si>
  <si>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</si>
  <si>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</si>
  <si>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</si>
  <si>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Исполнитель  вед.экономист /Викторова Л.С./</t>
  </si>
  <si>
    <t>Итого  за 2016 г</t>
  </si>
  <si>
    <t>Итого  за 2017 г</t>
  </si>
  <si>
    <t>Всего за 2009-2017</t>
  </si>
  <si>
    <t>Начислено СОИД</t>
  </si>
  <si>
    <t>Электроэнергия  СОИД</t>
  </si>
  <si>
    <t>Холодная вода СОИД</t>
  </si>
  <si>
    <t>Канализация СОИД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</si>
</sst>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2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21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1" fillId="0" borderId="25" xfId="0" applyFont="1" applyBorder="1" applyAlignment="1">
      <alignment horizontal="left" wrapText="1"/>
    </xf>
    <xf numFmtId="49" fontId="21" fillId="0" borderId="24" xfId="0" applyNumberFormat="1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2" borderId="27" xfId="0" applyFont="1" applyFill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3" fillId="0" borderId="31" xfId="0" applyFont="1" applyBorder="1" applyAlignment="1">
      <alignment horizontal="left" vertical="center" wrapText="1"/>
    </xf>
    <xf numFmtId="0" fontId="21" fillId="0" borderId="22" xfId="0" applyFont="1" applyBorder="1" applyAlignment="1">
      <alignment wrapText="1"/>
    </xf>
    <xf numFmtId="0" fontId="21" fillId="2" borderId="22" xfId="0" applyFont="1" applyFill="1" applyBorder="1" applyAlignment="1">
      <alignment wrapText="1"/>
    </xf>
    <xf numFmtId="0" fontId="23" fillId="0" borderId="20" xfId="0" applyFont="1" applyBorder="1" applyAlignment="1">
      <alignment horizontal="left" vertical="center"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2" fontId="21" fillId="0" borderId="33" xfId="0" applyNumberFormat="1" applyFont="1" applyBorder="1" applyAlignment="1">
      <alignment wrapText="1"/>
    </xf>
    <xf numFmtId="0" fontId="21" fillId="0" borderId="29" xfId="0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35" xfId="0" applyFont="1" applyBorder="1" applyAlignment="1">
      <alignment horizontal="right" wrapText="1"/>
    </xf>
    <xf numFmtId="0" fontId="21" fillId="0" borderId="36" xfId="0" applyFont="1" applyBorder="1" applyAlignment="1">
      <alignment horizontal="right" wrapText="1"/>
    </xf>
    <xf numFmtId="0" fontId="19" fillId="0" borderId="20" xfId="0" applyFont="1" applyBorder="1" applyAlignment="1">
      <alignment horizontal="center" vertical="center" wrapText="1"/>
    </xf>
    <xf numFmtId="0" fontId="21" fillId="0" borderId="3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2" xfId="0" applyFont="1" applyBorder="1" applyAlignment="1">
      <alignment/>
    </xf>
    <xf numFmtId="0" fontId="20" fillId="2" borderId="32" xfId="0" applyFont="1" applyFill="1" applyBorder="1" applyAlignment="1">
      <alignment/>
    </xf>
    <xf numFmtId="0" fontId="21" fillId="0" borderId="28" xfId="0" applyFont="1" applyBorder="1" applyAlignment="1">
      <alignment/>
    </xf>
    <xf numFmtId="2" fontId="21" fillId="0" borderId="20" xfId="0" applyNumberFormat="1" applyFont="1" applyBorder="1" applyAlignment="1">
      <alignment/>
    </xf>
    <xf numFmtId="49" fontId="0" fillId="0" borderId="32" xfId="0" applyNumberFormat="1" applyBorder="1" applyAlignment="1">
      <alignment horizontal="center"/>
    </xf>
    <xf numFmtId="0" fontId="21" fillId="0" borderId="39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5" fillId="0" borderId="34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0" fontId="20" fillId="0" borderId="20" xfId="0" applyFont="1" applyBorder="1" applyAlignment="1">
      <alignment/>
    </xf>
    <xf numFmtId="0" fontId="21" fillId="0" borderId="20" xfId="0" applyFont="1" applyBorder="1" applyAlignment="1">
      <alignment horizontal="right"/>
    </xf>
    <xf numFmtId="0" fontId="21" fillId="2" borderId="20" xfId="0" applyFont="1" applyFill="1" applyBorder="1" applyAlignment="1">
      <alignment/>
    </xf>
    <xf numFmtId="2" fontId="21" fillId="0" borderId="34" xfId="0" applyNumberFormat="1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0" fillId="2" borderId="14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1" fillId="0" borderId="40" xfId="0" applyFont="1" applyBorder="1" applyAlignment="1">
      <alignment/>
    </xf>
    <xf numFmtId="0" fontId="19" fillId="0" borderId="41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31" xfId="0" applyFont="1" applyBorder="1" applyAlignment="1">
      <alignment horizontal="right" wrapText="1"/>
    </xf>
    <xf numFmtId="0" fontId="21" fillId="0" borderId="31" xfId="0" applyFont="1" applyBorder="1" applyAlignment="1">
      <alignment wrapText="1"/>
    </xf>
    <xf numFmtId="2" fontId="21" fillId="0" borderId="23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49" fontId="0" fillId="0" borderId="45" xfId="0" applyNumberFormat="1" applyBorder="1" applyAlignment="1">
      <alignment horizontal="center"/>
    </xf>
    <xf numFmtId="0" fontId="24" fillId="0" borderId="46" xfId="0" applyFont="1" applyBorder="1" applyAlignment="1">
      <alignment wrapText="1"/>
    </xf>
    <xf numFmtId="0" fontId="25" fillId="0" borderId="47" xfId="0" applyFont="1" applyBorder="1" applyAlignment="1">
      <alignment wrapText="1"/>
    </xf>
    <xf numFmtId="0" fontId="25" fillId="0" borderId="45" xfId="0" applyFont="1" applyBorder="1" applyAlignment="1">
      <alignment wrapText="1"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49" fontId="0" fillId="0" borderId="33" xfId="0" applyNumberFormat="1" applyBorder="1" applyAlignment="1">
      <alignment horizontal="center"/>
    </xf>
    <xf numFmtId="0" fontId="24" fillId="0" borderId="27" xfId="0" applyFont="1" applyBorder="1" applyAlignment="1">
      <alignment wrapText="1"/>
    </xf>
    <xf numFmtId="0" fontId="21" fillId="0" borderId="22" xfId="0" applyFont="1" applyBorder="1" applyAlignment="1">
      <alignment/>
    </xf>
    <xf numFmtId="2" fontId="21" fillId="0" borderId="32" xfId="0" applyNumberFormat="1" applyFont="1" applyBorder="1" applyAlignment="1">
      <alignment/>
    </xf>
    <xf numFmtId="0" fontId="21" fillId="0" borderId="21" xfId="0" applyFont="1" applyBorder="1" applyAlignment="1">
      <alignment/>
    </xf>
    <xf numFmtId="49" fontId="0" fillId="0" borderId="20" xfId="0" applyNumberFormat="1" applyBorder="1" applyAlignment="1">
      <alignment horizontal="center"/>
    </xf>
    <xf numFmtId="0" fontId="21" fillId="0" borderId="23" xfId="0" applyFont="1" applyBorder="1" applyAlignment="1">
      <alignment horizontal="left" wrapText="1"/>
    </xf>
    <xf numFmtId="1" fontId="21" fillId="0" borderId="31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5" fillId="0" borderId="33" xfId="0" applyFont="1" applyBorder="1" applyAlignment="1">
      <alignment wrapText="1"/>
    </xf>
    <xf numFmtId="0" fontId="26" fillId="0" borderId="28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7" xfId="0" applyFont="1" applyBorder="1" applyAlignment="1">
      <alignment/>
    </xf>
    <xf numFmtId="1" fontId="27" fillId="0" borderId="20" xfId="0" applyNumberFormat="1" applyFont="1" applyBorder="1" applyAlignment="1">
      <alignment horizontal="center"/>
    </xf>
    <xf numFmtId="0" fontId="26" fillId="0" borderId="32" xfId="0" applyFont="1" applyBorder="1" applyAlignment="1">
      <alignment/>
    </xf>
    <xf numFmtId="0" fontId="26" fillId="0" borderId="20" xfId="0" applyFont="1" applyBorder="1" applyAlignment="1">
      <alignment/>
    </xf>
    <xf numFmtId="0" fontId="25" fillId="0" borderId="50" xfId="0" applyFont="1" applyBorder="1" applyAlignment="1">
      <alignment wrapText="1"/>
    </xf>
    <xf numFmtId="0" fontId="25" fillId="0" borderId="51" xfId="0" applyFont="1" applyBorder="1" applyAlignment="1">
      <alignment wrapText="1"/>
    </xf>
    <xf numFmtId="0" fontId="25" fillId="0" borderId="52" xfId="0" applyFont="1" applyBorder="1" applyAlignment="1">
      <alignment wrapText="1"/>
    </xf>
    <xf numFmtId="2" fontId="21" fillId="0" borderId="50" xfId="0" applyNumberFormat="1" applyFont="1" applyBorder="1" applyAlignment="1">
      <alignment wrapText="1"/>
    </xf>
    <xf numFmtId="0" fontId="21" fillId="0" borderId="51" xfId="0" applyFont="1" applyBorder="1" applyAlignment="1">
      <alignment wrapText="1"/>
    </xf>
    <xf numFmtId="0" fontId="21" fillId="0" borderId="51" xfId="0" applyFont="1" applyBorder="1" applyAlignment="1">
      <alignment horizontal="right" wrapText="1"/>
    </xf>
    <xf numFmtId="0" fontId="21" fillId="0" borderId="53" xfId="0" applyFont="1" applyBorder="1" applyAlignment="1">
      <alignment wrapText="1"/>
    </xf>
    <xf numFmtId="2" fontId="21" fillId="0" borderId="31" xfId="0" applyNumberFormat="1" applyFont="1" applyBorder="1" applyAlignment="1">
      <alignment/>
    </xf>
    <xf numFmtId="0" fontId="21" fillId="0" borderId="54" xfId="0" applyFont="1" applyBorder="1" applyAlignment="1">
      <alignment wrapText="1"/>
    </xf>
    <xf numFmtId="0" fontId="21" fillId="0" borderId="41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21" fillId="0" borderId="32" xfId="0" applyFont="1" applyBorder="1" applyAlignment="1">
      <alignment horizontal="right"/>
    </xf>
    <xf numFmtId="2" fontId="21" fillId="0" borderId="22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1">
      <selection activeCell="N25" sqref="N25"/>
    </sheetView>
  </sheetViews>
  <sheetFormatPr defaultColWidth="9.00390625" defaultRowHeight="12.75"/>
  <cols>
    <col min="1" max="1" width="5.25390625" style="21" customWidth="1"/>
    <col min="2" max="2" width="22.625" style="0" customWidth="1"/>
    <col min="3" max="3" width="6.75390625" style="0" hidden="1" customWidth="1"/>
    <col min="4" max="4" width="7.625" style="0" hidden="1" customWidth="1"/>
    <col min="5" max="5" width="7.75390625" style="0" hidden="1" customWidth="1"/>
    <col min="6" max="7" width="9.875" style="0" hidden="1" customWidth="1"/>
    <col min="8" max="8" width="8.75390625" style="0" hidden="1" customWidth="1"/>
    <col min="9" max="9" width="8.875" style="0" hidden="1" customWidth="1"/>
    <col min="10" max="10" width="8.75390625" style="0" hidden="1" customWidth="1"/>
    <col min="11" max="11" width="7.25390625" style="0" customWidth="1"/>
    <col min="12" max="12" width="8.625" style="0" customWidth="1"/>
    <col min="13" max="13" width="7.125" style="0" customWidth="1"/>
    <col min="14" max="14" width="7.625" style="0" customWidth="1"/>
    <col min="15" max="15" width="8.25390625" style="0" customWidth="1"/>
    <col min="16" max="16" width="8.625" style="0" customWidth="1"/>
    <col min="17" max="17" width="8.375" style="0" customWidth="1"/>
    <col min="18" max="18" width="8.25390625" style="0" customWidth="1"/>
    <col min="19" max="19" width="8.375" style="0" customWidth="1"/>
    <col min="20" max="21" width="8.875" style="0" customWidth="1"/>
    <col min="22" max="22" width="8.75390625" style="0" customWidth="1"/>
    <col min="23" max="23" width="10.625" style="0" customWidth="1"/>
    <col min="24" max="24" width="9.625" style="0" hidden="1" customWidth="1"/>
  </cols>
  <sheetData>
    <row r="1" spans="2:29" ht="12.75" customHeight="1">
      <c r="B1" s="123" t="s">
        <v>10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" customHeight="1">
      <c r="B2" s="123" t="s">
        <v>56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 hidden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2.75" customHeight="1">
      <c r="B4" s="122" t="s">
        <v>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3"/>
      <c r="Z4" s="3"/>
      <c r="AA4" s="3"/>
      <c r="AB4" s="3"/>
      <c r="AC4" s="3"/>
    </row>
    <row r="5" spans="2:29" ht="15" customHeight="1">
      <c r="B5" s="121" t="s">
        <v>12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"/>
      <c r="Z5" s="2"/>
      <c r="AA5" s="2"/>
      <c r="AB5" s="2"/>
      <c r="AC5" s="2"/>
    </row>
    <row r="6" spans="2:29" ht="15.75" customHeight="1" thickBot="1">
      <c r="B6" s="121" t="s">
        <v>47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2"/>
      <c r="Z6" s="2"/>
      <c r="AA6" s="2"/>
      <c r="AB6" s="2"/>
      <c r="AC6" s="2"/>
    </row>
    <row r="7" spans="2:29" ht="16.5" customHeight="1" hidden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  <c r="AA7" s="2"/>
      <c r="AB7" s="2"/>
      <c r="AC7" s="2"/>
    </row>
    <row r="8" spans="1:29" ht="40.5" customHeight="1" thickBot="1">
      <c r="A8" s="32" t="s">
        <v>29</v>
      </c>
      <c r="B8" s="22" t="s">
        <v>8</v>
      </c>
      <c r="C8" s="36" t="s">
        <v>48</v>
      </c>
      <c r="D8" s="39" t="s">
        <v>49</v>
      </c>
      <c r="E8" s="76" t="s">
        <v>52</v>
      </c>
      <c r="F8" s="50" t="s">
        <v>64</v>
      </c>
      <c r="G8" s="50" t="s">
        <v>66</v>
      </c>
      <c r="H8" s="76" t="s">
        <v>67</v>
      </c>
      <c r="I8" s="76" t="s">
        <v>70</v>
      </c>
      <c r="J8" s="50" t="s">
        <v>76</v>
      </c>
      <c r="K8" s="103" t="s">
        <v>13</v>
      </c>
      <c r="L8" s="102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  <c r="R8" s="5" t="s">
        <v>20</v>
      </c>
      <c r="S8" s="5" t="s">
        <v>21</v>
      </c>
      <c r="T8" s="5" t="s">
        <v>22</v>
      </c>
      <c r="U8" s="5" t="s">
        <v>24</v>
      </c>
      <c r="V8" s="10" t="s">
        <v>23</v>
      </c>
      <c r="W8" s="50" t="s">
        <v>77</v>
      </c>
      <c r="X8" s="15" t="s">
        <v>78</v>
      </c>
      <c r="Y8" s="1"/>
      <c r="Z8" s="1"/>
      <c r="AA8" s="1"/>
      <c r="AB8" s="1"/>
      <c r="AC8" s="1"/>
    </row>
    <row r="9" spans="1:24" ht="13.5" thickBot="1">
      <c r="A9" s="33" t="s">
        <v>30</v>
      </c>
      <c r="B9" s="23" t="s">
        <v>1</v>
      </c>
      <c r="C9" s="62">
        <v>4805.7</v>
      </c>
      <c r="D9" s="63">
        <v>19222.8</v>
      </c>
      <c r="E9" s="62">
        <v>21191.4</v>
      </c>
      <c r="F9" s="63">
        <v>25657.12</v>
      </c>
      <c r="G9" s="63">
        <v>33801.12</v>
      </c>
      <c r="H9" s="111">
        <v>30747.12</v>
      </c>
      <c r="I9" s="111">
        <v>21585.12</v>
      </c>
      <c r="J9" s="104">
        <v>21585.12</v>
      </c>
      <c r="K9" s="78">
        <v>1798.76</v>
      </c>
      <c r="L9" s="6">
        <v>1798.76</v>
      </c>
      <c r="M9" s="6">
        <v>1798.76</v>
      </c>
      <c r="N9" s="6">
        <v>1798.76</v>
      </c>
      <c r="O9" s="6">
        <v>1798.76</v>
      </c>
      <c r="P9" s="6">
        <v>1798.76</v>
      </c>
      <c r="Q9" s="6">
        <v>1798.76</v>
      </c>
      <c r="R9" s="6">
        <v>1798.76</v>
      </c>
      <c r="S9" s="6">
        <v>1798.76</v>
      </c>
      <c r="T9" s="6">
        <v>1798.76</v>
      </c>
      <c r="U9" s="6">
        <v>1851.88</v>
      </c>
      <c r="V9" s="11">
        <v>1851.88</v>
      </c>
      <c r="W9" s="57">
        <f>SUM(K9:V9)</f>
        <v>21691.36</v>
      </c>
      <c r="X9" s="105">
        <f>SUM(C9:V9)</f>
        <v>200286.8600000001</v>
      </c>
    </row>
    <row r="10" spans="1:24" ht="12.75">
      <c r="A10" s="33"/>
      <c r="B10" s="23" t="s">
        <v>79</v>
      </c>
      <c r="C10" s="62"/>
      <c r="D10" s="104"/>
      <c r="E10" s="62"/>
      <c r="F10" s="104"/>
      <c r="G10" s="104"/>
      <c r="H10" s="111"/>
      <c r="I10" s="111"/>
      <c r="J10" s="104">
        <v>0</v>
      </c>
      <c r="K10" s="78">
        <f>132.12+6.76</f>
        <v>138.88</v>
      </c>
      <c r="L10" s="6">
        <f>132.12+6.76</f>
        <v>138.88</v>
      </c>
      <c r="M10" s="6">
        <f>132.12+6.76</f>
        <v>138.88</v>
      </c>
      <c r="N10" s="6">
        <f>132.12+6.76</f>
        <v>138.88</v>
      </c>
      <c r="O10" s="6">
        <f>132.12+6.76</f>
        <v>138.88</v>
      </c>
      <c r="P10" s="6">
        <f>91.15+13.11+11.42</f>
        <v>115.68</v>
      </c>
      <c r="Q10" s="6">
        <f>95.62+13.23+11.7</f>
        <v>120.55000000000001</v>
      </c>
      <c r="R10" s="6">
        <f>95.62+13.23+11.7</f>
        <v>120.55000000000001</v>
      </c>
      <c r="S10" s="6">
        <f>95.62+13.23+11.7</f>
        <v>120.55000000000001</v>
      </c>
      <c r="T10" s="6">
        <f>95.62+13.23+11.7</f>
        <v>120.55000000000001</v>
      </c>
      <c r="U10" s="6">
        <f>95.62+13.24+11.68</f>
        <v>120.53999999999999</v>
      </c>
      <c r="V10" s="11">
        <f>95.62+13.24+11.68</f>
        <v>120.53999999999999</v>
      </c>
      <c r="W10" s="57">
        <f>SUM(K10:V10)</f>
        <v>1533.3599999999997</v>
      </c>
      <c r="X10" s="105">
        <f>SUM(C10:V10)</f>
        <v>1533.3599999999997</v>
      </c>
    </row>
    <row r="11" spans="1:24" ht="12.75">
      <c r="A11" s="33" t="s">
        <v>31</v>
      </c>
      <c r="B11" s="24" t="s">
        <v>2</v>
      </c>
      <c r="C11" s="64">
        <v>2855.2</v>
      </c>
      <c r="D11" s="65">
        <v>18351.3</v>
      </c>
      <c r="E11" s="64">
        <v>20537.86</v>
      </c>
      <c r="F11" s="65">
        <v>22041.8</v>
      </c>
      <c r="G11" s="65">
        <v>21585.12</v>
      </c>
      <c r="H11" s="112">
        <v>21585.12</v>
      </c>
      <c r="I11" s="112">
        <v>21585.12</v>
      </c>
      <c r="J11" s="65">
        <v>21585.12</v>
      </c>
      <c r="K11" s="75">
        <v>1797.76</v>
      </c>
      <c r="L11" s="7">
        <v>1937.64</v>
      </c>
      <c r="M11" s="7">
        <v>1937.64</v>
      </c>
      <c r="N11" s="7">
        <v>1937.64</v>
      </c>
      <c r="O11" s="7">
        <v>1937.64</v>
      </c>
      <c r="P11" s="7">
        <v>1937.64</v>
      </c>
      <c r="Q11" s="7">
        <v>1914.44</v>
      </c>
      <c r="R11" s="7">
        <v>1919.31</v>
      </c>
      <c r="S11" s="7">
        <v>1919.31</v>
      </c>
      <c r="T11" s="7">
        <v>1919.31</v>
      </c>
      <c r="U11" s="7">
        <v>1919.31</v>
      </c>
      <c r="V11" s="12">
        <v>1972.42</v>
      </c>
      <c r="W11" s="51">
        <f>SUM(K11:V11)</f>
        <v>23050.060000000005</v>
      </c>
      <c r="X11" s="106">
        <f>SUM(C11:V11)</f>
        <v>173176.70000000007</v>
      </c>
    </row>
    <row r="12" spans="1:24" ht="11.25" customHeight="1" thickBot="1">
      <c r="A12" s="85"/>
      <c r="B12" s="86" t="s">
        <v>69</v>
      </c>
      <c r="C12" s="87"/>
      <c r="D12" s="88"/>
      <c r="E12" s="87"/>
      <c r="F12" s="88">
        <v>3054</v>
      </c>
      <c r="G12" s="88">
        <v>12216</v>
      </c>
      <c r="H12" s="113">
        <v>9162</v>
      </c>
      <c r="I12" s="113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53">
        <f>SUM(K12:V12)</f>
        <v>0</v>
      </c>
      <c r="X12" s="107">
        <f>SUM(C12:V12)</f>
        <v>24432</v>
      </c>
    </row>
    <row r="13" spans="1:24" ht="15" customHeight="1" thickBot="1">
      <c r="A13" s="96" t="s">
        <v>32</v>
      </c>
      <c r="B13" s="97" t="s">
        <v>65</v>
      </c>
      <c r="C13" s="98">
        <f>SUM(C11/C9*100)</f>
        <v>59.41278065630398</v>
      </c>
      <c r="D13" s="99">
        <f>SUM(D11/D9*100)</f>
        <v>95.46632124352331</v>
      </c>
      <c r="E13" s="100">
        <f>SUM(E11/E9*100)</f>
        <v>96.91601309965363</v>
      </c>
      <c r="F13" s="99">
        <f aca="true" t="shared" si="0" ref="F13:K13">SUM(F11,F12)/F9*100</f>
        <v>97.81222522247236</v>
      </c>
      <c r="G13" s="99">
        <f t="shared" si="0"/>
        <v>99.99999999999997</v>
      </c>
      <c r="H13" s="99">
        <f t="shared" si="0"/>
        <v>100</v>
      </c>
      <c r="I13" s="98">
        <f t="shared" si="0"/>
        <v>100</v>
      </c>
      <c r="J13" s="99">
        <f t="shared" si="0"/>
        <v>100</v>
      </c>
      <c r="K13" s="101">
        <f t="shared" si="0"/>
        <v>99.94440614645644</v>
      </c>
      <c r="L13" s="99">
        <f aca="true" t="shared" si="1" ref="L13:V13">SUM(L11,L12)/L9*100</f>
        <v>107.72087438012854</v>
      </c>
      <c r="M13" s="99">
        <f t="shared" si="1"/>
        <v>107.72087438012854</v>
      </c>
      <c r="N13" s="99">
        <f t="shared" si="1"/>
        <v>107.72087438012854</v>
      </c>
      <c r="O13" s="99">
        <f t="shared" si="1"/>
        <v>107.72087438012854</v>
      </c>
      <c r="P13" s="99">
        <f t="shared" si="1"/>
        <v>107.72087438012854</v>
      </c>
      <c r="Q13" s="99">
        <f t="shared" si="1"/>
        <v>106.43109697791813</v>
      </c>
      <c r="R13" s="99">
        <f t="shared" si="1"/>
        <v>106.70183904467522</v>
      </c>
      <c r="S13" s="99">
        <f t="shared" si="1"/>
        <v>106.70183904467522</v>
      </c>
      <c r="T13" s="99">
        <f t="shared" si="1"/>
        <v>106.70183904467522</v>
      </c>
      <c r="U13" s="99">
        <f t="shared" si="1"/>
        <v>103.64116465429724</v>
      </c>
      <c r="V13" s="99">
        <f t="shared" si="1"/>
        <v>106.50906106227185</v>
      </c>
      <c r="W13" s="99">
        <f>SUM(W11,W12)/W9*100</f>
        <v>106.26378429015058</v>
      </c>
      <c r="X13" s="108">
        <f>SUM(X11,X12)/X9*100</f>
        <v>98.66283789161204</v>
      </c>
    </row>
    <row r="14" spans="1:24" ht="13.5" thickBot="1">
      <c r="A14" s="91" t="s">
        <v>33</v>
      </c>
      <c r="B14" s="92" t="s">
        <v>3</v>
      </c>
      <c r="C14" s="93">
        <f aca="true" t="shared" si="2" ref="C14:K14">SUM(C15:C29)</f>
        <v>3979.6</v>
      </c>
      <c r="D14" s="94">
        <f t="shared" si="2"/>
        <v>20070.36</v>
      </c>
      <c r="E14" s="14">
        <f t="shared" si="2"/>
        <v>21772.26</v>
      </c>
      <c r="F14" s="55">
        <f t="shared" si="2"/>
        <v>36561.32</v>
      </c>
      <c r="G14" s="55">
        <f t="shared" si="2"/>
        <v>28867.289999999997</v>
      </c>
      <c r="H14" s="55">
        <f>SUM(H15:H29)</f>
        <v>24447.29</v>
      </c>
      <c r="I14" s="120">
        <f>SUM(I15:I29)</f>
        <v>12831.34</v>
      </c>
      <c r="J14" s="55">
        <f>SUM(J15:J29)</f>
        <v>23125.260000000002</v>
      </c>
      <c r="K14" s="95">
        <f t="shared" si="2"/>
        <v>1948.29</v>
      </c>
      <c r="L14" s="95">
        <f aca="true" t="shared" si="3" ref="L14:V14">SUM(L15:L29)</f>
        <v>1805.4399999999998</v>
      </c>
      <c r="M14" s="95">
        <f t="shared" si="3"/>
        <v>1769.68</v>
      </c>
      <c r="N14" s="95">
        <f t="shared" si="3"/>
        <v>2865.6399999999994</v>
      </c>
      <c r="O14" s="95">
        <f t="shared" si="3"/>
        <v>1766.21</v>
      </c>
      <c r="P14" s="95">
        <f t="shared" si="3"/>
        <v>1675.41</v>
      </c>
      <c r="Q14" s="95">
        <f t="shared" si="3"/>
        <v>2232.08</v>
      </c>
      <c r="R14" s="95">
        <f t="shared" si="3"/>
        <v>1910.66</v>
      </c>
      <c r="S14" s="95">
        <f t="shared" si="3"/>
        <v>1782.9099999999999</v>
      </c>
      <c r="T14" s="95">
        <f t="shared" si="3"/>
        <v>1797.67</v>
      </c>
      <c r="U14" s="95">
        <f t="shared" si="3"/>
        <v>1764.36</v>
      </c>
      <c r="V14" s="93">
        <f t="shared" si="3"/>
        <v>1791.6399999999999</v>
      </c>
      <c r="W14" s="53">
        <f>SUM(K14:V14)</f>
        <v>23109.989999999998</v>
      </c>
      <c r="X14" s="109">
        <f>SUM(C14:V14)</f>
        <v>194764.71000000002</v>
      </c>
    </row>
    <row r="15" spans="1:24" ht="13.5" thickBot="1">
      <c r="A15" s="33" t="s">
        <v>34</v>
      </c>
      <c r="B15" s="26" t="s">
        <v>5</v>
      </c>
      <c r="C15" s="47">
        <v>1553.84</v>
      </c>
      <c r="D15" s="45">
        <v>4519.73</v>
      </c>
      <c r="E15" s="69">
        <v>5276.79</v>
      </c>
      <c r="F15" s="45">
        <v>6451.08</v>
      </c>
      <c r="G15" s="45">
        <v>6728.27</v>
      </c>
      <c r="H15" s="114">
        <v>6703.44</v>
      </c>
      <c r="I15" s="114">
        <v>6754.73</v>
      </c>
      <c r="J15" s="45">
        <v>6601.39</v>
      </c>
      <c r="K15" s="78">
        <f>530+6.63</f>
        <v>536.63</v>
      </c>
      <c r="L15" s="6">
        <f>530+31.18</f>
        <v>561.18</v>
      </c>
      <c r="M15" s="6">
        <f>530+18.31</f>
        <v>548.31</v>
      </c>
      <c r="N15" s="6">
        <f>530+58.02</f>
        <v>588.02</v>
      </c>
      <c r="O15" s="6">
        <f>530+28.96</f>
        <v>558.96</v>
      </c>
      <c r="P15" s="6">
        <f>530+17.7</f>
        <v>547.7</v>
      </c>
      <c r="Q15" s="6">
        <f>530+27.89</f>
        <v>557.89</v>
      </c>
      <c r="R15" s="6">
        <f>530+32.43</f>
        <v>562.43</v>
      </c>
      <c r="S15" s="6">
        <f>530+33.54</f>
        <v>563.54</v>
      </c>
      <c r="T15" s="6">
        <f>530+34.87</f>
        <v>564.87</v>
      </c>
      <c r="U15" s="6">
        <f>530+30.47</f>
        <v>560.47</v>
      </c>
      <c r="V15" s="11">
        <f>530+30.53</f>
        <v>560.53</v>
      </c>
      <c r="W15" s="52">
        <f aca="true" t="shared" si="4" ref="W15:W31">SUM(K15:V15)</f>
        <v>6710.53</v>
      </c>
      <c r="X15" s="107">
        <f aca="true" t="shared" si="5" ref="X15:X29">SUM(C15:V15)</f>
        <v>51299.799999999996</v>
      </c>
    </row>
    <row r="16" spans="1:24" ht="12.75" customHeight="1" thickBot="1">
      <c r="A16" s="33" t="s">
        <v>35</v>
      </c>
      <c r="B16" s="27" t="s">
        <v>74</v>
      </c>
      <c r="C16" s="48">
        <v>1933.18</v>
      </c>
      <c r="D16" s="40">
        <v>4713.7</v>
      </c>
      <c r="E16" s="70">
        <v>2364.83</v>
      </c>
      <c r="F16" s="40">
        <f>2579.79+630</f>
        <v>3209.79</v>
      </c>
      <c r="G16" s="40">
        <v>4256.24</v>
      </c>
      <c r="H16" s="115">
        <v>715.3</v>
      </c>
      <c r="I16" s="115">
        <v>1699</v>
      </c>
      <c r="J16" s="40">
        <v>17.7</v>
      </c>
      <c r="K16" s="75"/>
      <c r="L16" s="7"/>
      <c r="M16" s="7"/>
      <c r="N16" s="7">
        <v>1176.54</v>
      </c>
      <c r="O16" s="7"/>
      <c r="P16" s="7"/>
      <c r="Q16" s="7"/>
      <c r="R16" s="7"/>
      <c r="S16" s="7"/>
      <c r="T16" s="7"/>
      <c r="U16" s="7"/>
      <c r="V16" s="12"/>
      <c r="W16" s="53">
        <f t="shared" si="4"/>
        <v>1176.54</v>
      </c>
      <c r="X16" s="110">
        <f t="shared" si="5"/>
        <v>20086.28</v>
      </c>
    </row>
    <row r="17" spans="1:24" ht="15" customHeight="1" thickBot="1">
      <c r="A17" s="33" t="s">
        <v>36</v>
      </c>
      <c r="B17" s="25" t="s">
        <v>6</v>
      </c>
      <c r="C17" s="48">
        <v>0</v>
      </c>
      <c r="D17" s="46">
        <v>507.59</v>
      </c>
      <c r="E17" s="48">
        <v>0</v>
      </c>
      <c r="F17" s="46">
        <v>0</v>
      </c>
      <c r="G17" s="46">
        <v>2552.34</v>
      </c>
      <c r="H17" s="116"/>
      <c r="I17" s="116">
        <v>0</v>
      </c>
      <c r="J17" s="46">
        <v>2105.2</v>
      </c>
      <c r="K17" s="75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W17" s="52">
        <f t="shared" si="4"/>
        <v>0</v>
      </c>
      <c r="X17" s="107">
        <f t="shared" si="5"/>
        <v>5165.13</v>
      </c>
    </row>
    <row r="18" spans="1:24" ht="12" customHeight="1" thickBot="1">
      <c r="A18" s="33" t="s">
        <v>37</v>
      </c>
      <c r="B18" s="25" t="s">
        <v>53</v>
      </c>
      <c r="C18" s="48">
        <v>0</v>
      </c>
      <c r="D18" s="46">
        <v>0</v>
      </c>
      <c r="E18" s="48">
        <v>241.83</v>
      </c>
      <c r="F18" s="46">
        <v>0</v>
      </c>
      <c r="G18" s="46">
        <v>0</v>
      </c>
      <c r="H18" s="116"/>
      <c r="I18" s="116">
        <v>0</v>
      </c>
      <c r="J18" s="46">
        <v>0</v>
      </c>
      <c r="K18" s="75"/>
      <c r="L18" s="7"/>
      <c r="M18" s="7"/>
      <c r="N18" s="7"/>
      <c r="O18" s="7"/>
      <c r="P18" s="7"/>
      <c r="Q18" s="7"/>
      <c r="R18" s="7"/>
      <c r="S18" s="7"/>
      <c r="T18" s="7"/>
      <c r="U18" s="7"/>
      <c r="V18" s="12"/>
      <c r="W18" s="52">
        <f t="shared" si="4"/>
        <v>0</v>
      </c>
      <c r="X18" s="110">
        <f t="shared" si="5"/>
        <v>241.83</v>
      </c>
    </row>
    <row r="19" spans="1:24" ht="13.5" customHeight="1" thickBot="1">
      <c r="A19" s="33" t="s">
        <v>38</v>
      </c>
      <c r="B19" s="27" t="s">
        <v>62</v>
      </c>
      <c r="C19" s="48">
        <v>0</v>
      </c>
      <c r="D19" s="40">
        <v>3379.05</v>
      </c>
      <c r="E19" s="70">
        <v>1592.09</v>
      </c>
      <c r="F19" s="40">
        <v>7862.28</v>
      </c>
      <c r="G19" s="40">
        <v>20</v>
      </c>
      <c r="H19" s="115">
        <v>3129.69</v>
      </c>
      <c r="I19" s="115">
        <v>-2596.65</v>
      </c>
      <c r="J19" s="40">
        <v>719.26</v>
      </c>
      <c r="K19" s="75"/>
      <c r="L19" s="7"/>
      <c r="M19" s="7"/>
      <c r="N19" s="7"/>
      <c r="O19" s="7"/>
      <c r="P19" s="7"/>
      <c r="Q19" s="7">
        <v>465</v>
      </c>
      <c r="R19" s="7">
        <v>95</v>
      </c>
      <c r="S19" s="7"/>
      <c r="T19" s="7"/>
      <c r="U19" s="7"/>
      <c r="V19" s="12"/>
      <c r="W19" s="52">
        <f t="shared" si="4"/>
        <v>560</v>
      </c>
      <c r="X19" s="110">
        <f>SUM(C19:V19)</f>
        <v>14665.720000000001</v>
      </c>
    </row>
    <row r="20" spans="1:24" ht="11.25" customHeight="1" thickBot="1">
      <c r="A20" s="33" t="s">
        <v>39</v>
      </c>
      <c r="B20" s="27" t="s">
        <v>57</v>
      </c>
      <c r="C20" s="48"/>
      <c r="D20" s="40"/>
      <c r="E20" s="70">
        <v>0</v>
      </c>
      <c r="F20" s="40">
        <v>256</v>
      </c>
      <c r="G20" s="40">
        <v>0</v>
      </c>
      <c r="H20" s="115">
        <v>5.33</v>
      </c>
      <c r="I20" s="115">
        <v>52.96</v>
      </c>
      <c r="J20" s="40">
        <v>51</v>
      </c>
      <c r="K20" s="75">
        <v>268.15</v>
      </c>
      <c r="L20" s="7">
        <v>94.94</v>
      </c>
      <c r="M20" s="7"/>
      <c r="N20" s="7"/>
      <c r="O20" s="7"/>
      <c r="P20" s="7"/>
      <c r="Q20" s="7"/>
      <c r="R20" s="7"/>
      <c r="S20" s="7"/>
      <c r="T20" s="7"/>
      <c r="U20" s="7"/>
      <c r="V20" s="12">
        <v>15.17</v>
      </c>
      <c r="W20" s="52">
        <f>SUM(K20:V20)</f>
        <v>378.26</v>
      </c>
      <c r="X20" s="110">
        <f>SUM(C20:V20)</f>
        <v>743.5499999999998</v>
      </c>
    </row>
    <row r="21" spans="1:24" ht="13.5" customHeight="1" thickBot="1">
      <c r="A21" s="33" t="s">
        <v>40</v>
      </c>
      <c r="B21" s="27" t="s">
        <v>80</v>
      </c>
      <c r="C21" s="48">
        <v>204.97</v>
      </c>
      <c r="D21" s="40">
        <v>665.48</v>
      </c>
      <c r="E21" s="70">
        <v>617.67</v>
      </c>
      <c r="F21" s="40">
        <v>193.16</v>
      </c>
      <c r="G21" s="40">
        <v>0</v>
      </c>
      <c r="H21" s="115"/>
      <c r="I21" s="115">
        <v>0</v>
      </c>
      <c r="J21" s="40">
        <v>0</v>
      </c>
      <c r="K21" s="75">
        <v>132.12</v>
      </c>
      <c r="L21" s="7">
        <v>132.12</v>
      </c>
      <c r="M21" s="7">
        <v>132.12</v>
      </c>
      <c r="N21" s="7">
        <v>132.12</v>
      </c>
      <c r="O21" s="7">
        <v>132.12</v>
      </c>
      <c r="P21" s="7">
        <v>91.15</v>
      </c>
      <c r="Q21" s="7">
        <v>95.62</v>
      </c>
      <c r="R21" s="7">
        <v>95.62</v>
      </c>
      <c r="S21" s="7">
        <v>95.62</v>
      </c>
      <c r="T21" s="7">
        <v>95.62</v>
      </c>
      <c r="U21" s="7">
        <v>95.62</v>
      </c>
      <c r="V21" s="12">
        <v>95.62</v>
      </c>
      <c r="W21" s="53">
        <f t="shared" si="4"/>
        <v>1325.4699999999998</v>
      </c>
      <c r="X21" s="107">
        <f t="shared" si="5"/>
        <v>3006.749999999999</v>
      </c>
    </row>
    <row r="22" spans="1:24" ht="13.5" customHeight="1" thickBot="1">
      <c r="A22" s="33"/>
      <c r="B22" s="27" t="s">
        <v>81</v>
      </c>
      <c r="C22" s="48"/>
      <c r="D22" s="40"/>
      <c r="E22" s="70"/>
      <c r="F22" s="40"/>
      <c r="G22" s="40"/>
      <c r="H22" s="115"/>
      <c r="I22" s="115"/>
      <c r="J22" s="40"/>
      <c r="K22" s="75"/>
      <c r="L22" s="7"/>
      <c r="M22" s="7"/>
      <c r="N22" s="7"/>
      <c r="O22" s="7">
        <v>27.04</v>
      </c>
      <c r="P22" s="7">
        <v>19.87</v>
      </c>
      <c r="Q22" s="7">
        <v>13.23</v>
      </c>
      <c r="R22" s="7">
        <v>13.23</v>
      </c>
      <c r="S22" s="7">
        <v>13.23</v>
      </c>
      <c r="T22" s="7">
        <v>13.23</v>
      </c>
      <c r="U22" s="7">
        <v>13.23</v>
      </c>
      <c r="V22" s="12">
        <v>13.23</v>
      </c>
      <c r="W22" s="52">
        <f t="shared" si="4"/>
        <v>126.29000000000002</v>
      </c>
      <c r="X22" s="110">
        <f t="shared" si="5"/>
        <v>126.29000000000002</v>
      </c>
    </row>
    <row r="23" spans="1:24" ht="13.5" customHeight="1" thickBot="1">
      <c r="A23" s="33"/>
      <c r="B23" s="27" t="s">
        <v>82</v>
      </c>
      <c r="C23" s="48"/>
      <c r="D23" s="40"/>
      <c r="E23" s="70"/>
      <c r="F23" s="40"/>
      <c r="G23" s="40"/>
      <c r="H23" s="115"/>
      <c r="I23" s="115"/>
      <c r="J23" s="40"/>
      <c r="K23" s="75"/>
      <c r="L23" s="7"/>
      <c r="M23" s="7"/>
      <c r="N23" s="7"/>
      <c r="O23" s="7"/>
      <c r="P23" s="7">
        <v>11.41</v>
      </c>
      <c r="Q23" s="7">
        <v>11.68</v>
      </c>
      <c r="R23" s="7">
        <v>11.68</v>
      </c>
      <c r="S23" s="7">
        <v>11.68</v>
      </c>
      <c r="T23" s="7">
        <v>11.67</v>
      </c>
      <c r="U23" s="7">
        <v>11.68</v>
      </c>
      <c r="V23" s="12">
        <v>11.68</v>
      </c>
      <c r="W23" s="53">
        <f>SUM(K23:V23)</f>
        <v>81.47999999999999</v>
      </c>
      <c r="X23" s="107">
        <f>SUM(C23:V23)</f>
        <v>81.47999999999999</v>
      </c>
    </row>
    <row r="24" spans="1:24" ht="12.75" customHeight="1" thickBot="1">
      <c r="A24" s="33" t="s">
        <v>41</v>
      </c>
      <c r="B24" s="27" t="s">
        <v>7</v>
      </c>
      <c r="C24" s="48">
        <v>25.17</v>
      </c>
      <c r="D24" s="40">
        <v>212.9</v>
      </c>
      <c r="E24" s="70">
        <v>191.31</v>
      </c>
      <c r="F24" s="40">
        <v>102.36</v>
      </c>
      <c r="G24" s="40">
        <v>90.66</v>
      </c>
      <c r="H24" s="115"/>
      <c r="I24" s="115">
        <v>0</v>
      </c>
      <c r="J24" s="40">
        <v>0</v>
      </c>
      <c r="K24" s="75"/>
      <c r="L24" s="7"/>
      <c r="M24" s="7"/>
      <c r="N24" s="7"/>
      <c r="O24" s="7"/>
      <c r="P24" s="7"/>
      <c r="Q24" s="7"/>
      <c r="R24" s="7"/>
      <c r="S24" s="7"/>
      <c r="T24" s="7"/>
      <c r="U24" s="7"/>
      <c r="V24" s="12"/>
      <c r="W24" s="52">
        <f t="shared" si="4"/>
        <v>0</v>
      </c>
      <c r="X24" s="110">
        <f t="shared" si="5"/>
        <v>622.4</v>
      </c>
    </row>
    <row r="25" spans="1:24" ht="33.75" customHeight="1" thickBot="1">
      <c r="A25" s="33" t="s">
        <v>42</v>
      </c>
      <c r="B25" s="27" t="s">
        <v>71</v>
      </c>
      <c r="C25" s="48">
        <v>0</v>
      </c>
      <c r="D25" s="40">
        <v>262.86</v>
      </c>
      <c r="E25" s="70">
        <v>937.13</v>
      </c>
      <c r="F25" s="40">
        <v>6532.3</v>
      </c>
      <c r="G25" s="40">
        <v>2186.88</v>
      </c>
      <c r="H25" s="115">
        <v>786.45</v>
      </c>
      <c r="I25" s="115">
        <v>927.56</v>
      </c>
      <c r="J25" s="40">
        <v>980.85</v>
      </c>
      <c r="K25" s="75">
        <v>83.05</v>
      </c>
      <c r="L25" s="7">
        <v>77.65</v>
      </c>
      <c r="M25" s="7">
        <v>96.53</v>
      </c>
      <c r="N25" s="7">
        <v>71.74</v>
      </c>
      <c r="O25" s="7">
        <v>76.4</v>
      </c>
      <c r="P25" s="7">
        <v>85.92</v>
      </c>
      <c r="Q25" s="7">
        <v>69.64</v>
      </c>
      <c r="R25" s="7">
        <v>80.55</v>
      </c>
      <c r="S25" s="7">
        <v>75.76</v>
      </c>
      <c r="T25" s="7">
        <v>96.66</v>
      </c>
      <c r="U25" s="7">
        <v>102.94</v>
      </c>
      <c r="V25" s="12">
        <v>85.06</v>
      </c>
      <c r="W25" s="53">
        <f t="shared" si="4"/>
        <v>1001.8999999999999</v>
      </c>
      <c r="X25" s="107">
        <f t="shared" si="5"/>
        <v>13615.929999999998</v>
      </c>
    </row>
    <row r="26" spans="1:24" ht="25.5" customHeight="1" thickBot="1">
      <c r="A26" s="33" t="s">
        <v>58</v>
      </c>
      <c r="B26" s="27" t="s">
        <v>72</v>
      </c>
      <c r="C26" s="48">
        <v>93.35</v>
      </c>
      <c r="D26" s="40">
        <v>639.64</v>
      </c>
      <c r="E26" s="70">
        <v>510.15</v>
      </c>
      <c r="F26" s="40">
        <v>153.01</v>
      </c>
      <c r="G26" s="40">
        <v>108.79</v>
      </c>
      <c r="H26" s="115">
        <v>236.57</v>
      </c>
      <c r="I26" s="115">
        <v>159.87</v>
      </c>
      <c r="J26" s="40">
        <v>139.54</v>
      </c>
      <c r="K26" s="75">
        <v>18.25</v>
      </c>
      <c r="L26" s="7">
        <v>5.62</v>
      </c>
      <c r="M26" s="7">
        <v>6.03</v>
      </c>
      <c r="N26" s="7">
        <v>5.57</v>
      </c>
      <c r="O26" s="7">
        <v>5.41</v>
      </c>
      <c r="P26" s="7">
        <v>8.41</v>
      </c>
      <c r="Q26" s="7">
        <v>7.9</v>
      </c>
      <c r="R26" s="7">
        <v>24.33</v>
      </c>
      <c r="S26" s="7">
        <v>5.68</v>
      </c>
      <c r="T26" s="7">
        <v>8.4</v>
      </c>
      <c r="U26" s="7">
        <v>5.84</v>
      </c>
      <c r="V26" s="12">
        <v>7.97</v>
      </c>
      <c r="W26" s="52">
        <f t="shared" si="4"/>
        <v>109.41</v>
      </c>
      <c r="X26" s="110">
        <f t="shared" si="5"/>
        <v>2150.3299999999995</v>
      </c>
    </row>
    <row r="27" spans="1:24" ht="33.75" customHeight="1" thickBot="1">
      <c r="A27" s="33" t="s">
        <v>59</v>
      </c>
      <c r="B27" s="27" t="s">
        <v>73</v>
      </c>
      <c r="C27" s="48">
        <v>0</v>
      </c>
      <c r="D27" s="40">
        <v>140.95</v>
      </c>
      <c r="E27" s="70">
        <v>866.35</v>
      </c>
      <c r="F27" s="40">
        <v>795.42</v>
      </c>
      <c r="G27" s="40">
        <v>1067.09</v>
      </c>
      <c r="H27" s="115">
        <v>917.38</v>
      </c>
      <c r="I27" s="115">
        <v>1206.12</v>
      </c>
      <c r="J27" s="40">
        <v>1020.68</v>
      </c>
      <c r="K27" s="75">
        <f>3.66+25.5+41.73</f>
        <v>70.89</v>
      </c>
      <c r="L27" s="7">
        <f>3.64+30.21+25.59</f>
        <v>59.44</v>
      </c>
      <c r="M27" s="7">
        <f>3.59+33.58+44.95</f>
        <v>82.12</v>
      </c>
      <c r="N27" s="7">
        <f>3.39+30.78+43.26</f>
        <v>77.43</v>
      </c>
      <c r="O27" s="7">
        <f>3.48+37.32+105.84-50</f>
        <v>96.63999999999999</v>
      </c>
      <c r="P27" s="7">
        <f>51.42+4.08+30.56</f>
        <v>86.06</v>
      </c>
      <c r="Q27" s="7">
        <f>4.47+26.9+48.02</f>
        <v>79.39</v>
      </c>
      <c r="R27" s="7">
        <f>4.84+24.82+57.24</f>
        <v>86.9</v>
      </c>
      <c r="S27" s="7">
        <f>49.14+3.9+31.48</f>
        <v>84.52</v>
      </c>
      <c r="T27" s="7">
        <f>5+35.57+51.89</f>
        <v>92.46000000000001</v>
      </c>
      <c r="U27" s="7">
        <f>4.73+42.68+84.33</f>
        <v>131.74</v>
      </c>
      <c r="V27" s="12">
        <f>4.87+43+35.78</f>
        <v>83.65</v>
      </c>
      <c r="W27" s="53">
        <f t="shared" si="4"/>
        <v>1031.24</v>
      </c>
      <c r="X27" s="107">
        <f t="shared" si="5"/>
        <v>7045.2300000000005</v>
      </c>
    </row>
    <row r="28" spans="1:24" ht="12.75" customHeight="1" thickBot="1">
      <c r="A28" s="33" t="s">
        <v>60</v>
      </c>
      <c r="B28" s="27" t="s">
        <v>11</v>
      </c>
      <c r="C28" s="48">
        <v>95.5</v>
      </c>
      <c r="D28" s="40">
        <v>3053.31</v>
      </c>
      <c r="E28" s="70">
        <v>7923</v>
      </c>
      <c r="F28" s="40">
        <v>9991.16</v>
      </c>
      <c r="G28" s="40">
        <v>10542.26</v>
      </c>
      <c r="H28" s="115">
        <v>10792.13</v>
      </c>
      <c r="I28" s="115">
        <v>3812.71</v>
      </c>
      <c r="J28" s="40">
        <v>10674.6</v>
      </c>
      <c r="K28" s="75">
        <f>2148.29-1177.01-200</f>
        <v>771.28</v>
      </c>
      <c r="L28" s="7">
        <f>1705.44-1004.11+100</f>
        <v>801.33</v>
      </c>
      <c r="M28" s="7">
        <f>1869.68-938.27-200+100</f>
        <v>831.4100000000001</v>
      </c>
      <c r="N28" s="7">
        <f>3065.64-2124.58-200</f>
        <v>741.06</v>
      </c>
      <c r="O28" s="7">
        <f>1766.21-1019.73+50</f>
        <v>796.48</v>
      </c>
      <c r="P28" s="7">
        <f>1875.41-923.68-200</f>
        <v>751.7300000000001</v>
      </c>
      <c r="Q28" s="7">
        <f>2232.08-1372.64</f>
        <v>859.4399999999998</v>
      </c>
      <c r="R28" s="7">
        <f>1710.66-1042.21+200</f>
        <v>868.45</v>
      </c>
      <c r="S28" s="7">
        <f>1596.5-936.09+200</f>
        <v>860.41</v>
      </c>
      <c r="T28" s="7">
        <f>1597.67-955.38+200</f>
        <v>842.2900000000001</v>
      </c>
      <c r="U28" s="7">
        <f>1964.36-993.99-200</f>
        <v>770.3699999999999</v>
      </c>
      <c r="V28" s="12">
        <f>1604.3-960.05+200</f>
        <v>844.25</v>
      </c>
      <c r="W28" s="52">
        <f t="shared" si="4"/>
        <v>9738.5</v>
      </c>
      <c r="X28" s="110">
        <f t="shared" si="5"/>
        <v>66623.17000000001</v>
      </c>
    </row>
    <row r="29" spans="1:24" ht="13.5" customHeight="1" thickBot="1">
      <c r="A29" s="33" t="s">
        <v>63</v>
      </c>
      <c r="B29" s="28" t="s">
        <v>4</v>
      </c>
      <c r="C29" s="49">
        <v>73.59</v>
      </c>
      <c r="D29" s="41">
        <v>1975.15</v>
      </c>
      <c r="E29" s="71">
        <v>1251.11</v>
      </c>
      <c r="F29" s="41">
        <v>1014.76</v>
      </c>
      <c r="G29" s="41">
        <v>1314.76</v>
      </c>
      <c r="H29" s="117">
        <v>1161</v>
      </c>
      <c r="I29" s="117">
        <v>815.04</v>
      </c>
      <c r="J29" s="41">
        <v>815.04</v>
      </c>
      <c r="K29" s="79">
        <v>67.92</v>
      </c>
      <c r="L29" s="8">
        <f>5.24+67.92</f>
        <v>73.16</v>
      </c>
      <c r="M29" s="8">
        <f>5.24+67.92</f>
        <v>73.16</v>
      </c>
      <c r="N29" s="8">
        <f>5.24+67.92</f>
        <v>73.16</v>
      </c>
      <c r="O29" s="8">
        <f>5.24+67.92</f>
        <v>73.16</v>
      </c>
      <c r="P29" s="8">
        <f>5.24+67.92</f>
        <v>73.16</v>
      </c>
      <c r="Q29" s="8">
        <f>4.37+67.92</f>
        <v>72.29</v>
      </c>
      <c r="R29" s="8">
        <f>4.55+67.92</f>
        <v>72.47</v>
      </c>
      <c r="S29" s="8">
        <f>4.55+67.92</f>
        <v>72.47</v>
      </c>
      <c r="T29" s="8">
        <f>4.55+67.92</f>
        <v>72.47</v>
      </c>
      <c r="U29" s="8">
        <f>4.55+67.92</f>
        <v>72.47</v>
      </c>
      <c r="V29" s="13">
        <f>4.55+69.93</f>
        <v>74.48</v>
      </c>
      <c r="W29" s="53">
        <f t="shared" si="4"/>
        <v>870.37</v>
      </c>
      <c r="X29" s="107">
        <f t="shared" si="5"/>
        <v>9290.819999999998</v>
      </c>
    </row>
    <row r="30" spans="1:24" ht="13.5" customHeight="1" thickBot="1">
      <c r="A30" s="33"/>
      <c r="B30" s="42" t="s">
        <v>68</v>
      </c>
      <c r="C30" s="80"/>
      <c r="D30" s="42"/>
      <c r="E30" s="81"/>
      <c r="F30" s="42"/>
      <c r="G30" s="42"/>
      <c r="H30" s="118">
        <f>H9*5%</f>
        <v>1537.356</v>
      </c>
      <c r="I30" s="118">
        <f>I9*5%</f>
        <v>1079.256</v>
      </c>
      <c r="J30" s="58">
        <f>J9*5%</f>
        <v>1079.256</v>
      </c>
      <c r="K30" s="82">
        <f>K9*5%</f>
        <v>89.938</v>
      </c>
      <c r="L30" s="82">
        <f aca="true" t="shared" si="6" ref="L30:V30">L9*5%</f>
        <v>89.938</v>
      </c>
      <c r="M30" s="82">
        <f t="shared" si="6"/>
        <v>89.938</v>
      </c>
      <c r="N30" s="82">
        <f t="shared" si="6"/>
        <v>89.938</v>
      </c>
      <c r="O30" s="82">
        <f t="shared" si="6"/>
        <v>89.938</v>
      </c>
      <c r="P30" s="82">
        <f t="shared" si="6"/>
        <v>89.938</v>
      </c>
      <c r="Q30" s="82">
        <f t="shared" si="6"/>
        <v>89.938</v>
      </c>
      <c r="R30" s="82">
        <f t="shared" si="6"/>
        <v>89.938</v>
      </c>
      <c r="S30" s="82">
        <f t="shared" si="6"/>
        <v>89.938</v>
      </c>
      <c r="T30" s="82">
        <f t="shared" si="6"/>
        <v>89.938</v>
      </c>
      <c r="U30" s="82">
        <f t="shared" si="6"/>
        <v>92.59400000000001</v>
      </c>
      <c r="V30" s="82">
        <f t="shared" si="6"/>
        <v>92.59400000000001</v>
      </c>
      <c r="W30" s="58">
        <f t="shared" si="4"/>
        <v>1084.568</v>
      </c>
      <c r="X30" s="110"/>
    </row>
    <row r="31" spans="1:24" ht="17.25" customHeight="1" thickBot="1">
      <c r="A31" s="85" t="s">
        <v>61</v>
      </c>
      <c r="B31" s="60" t="s">
        <v>55</v>
      </c>
      <c r="C31" s="124"/>
      <c r="D31" s="61"/>
      <c r="E31" s="72"/>
      <c r="F31" s="61"/>
      <c r="G31" s="61"/>
      <c r="H31" s="119"/>
      <c r="I31" s="119"/>
      <c r="J31" s="61"/>
      <c r="K31" s="84">
        <f>SUM(K9+K10-K14)-K30</f>
        <v>-100.5880000000001</v>
      </c>
      <c r="L31" s="84">
        <f aca="true" t="shared" si="7" ref="L31:V31">SUM(L9+L10-L14)-L30</f>
        <v>42.26200000000004</v>
      </c>
      <c r="M31" s="84">
        <f t="shared" si="7"/>
        <v>78.0219999999998</v>
      </c>
      <c r="N31" s="84">
        <f t="shared" si="7"/>
        <v>-1017.9379999999995</v>
      </c>
      <c r="O31" s="84">
        <f t="shared" si="7"/>
        <v>81.49199999999983</v>
      </c>
      <c r="P31" s="84">
        <f t="shared" si="7"/>
        <v>149.09199999999998</v>
      </c>
      <c r="Q31" s="84">
        <f t="shared" si="7"/>
        <v>-402.70799999999997</v>
      </c>
      <c r="R31" s="84">
        <f t="shared" si="7"/>
        <v>-81.28800000000014</v>
      </c>
      <c r="S31" s="84">
        <f t="shared" si="7"/>
        <v>46.46200000000009</v>
      </c>
      <c r="T31" s="84">
        <f t="shared" si="7"/>
        <v>31.70199999999987</v>
      </c>
      <c r="U31" s="84">
        <f t="shared" si="7"/>
        <v>115.46600000000016</v>
      </c>
      <c r="V31" s="84">
        <f t="shared" si="7"/>
        <v>88.18600000000019</v>
      </c>
      <c r="W31" s="83">
        <f t="shared" si="4"/>
        <v>-969.8380000000002</v>
      </c>
      <c r="X31" s="107"/>
    </row>
    <row r="32" spans="1:24" ht="25.5" customHeight="1" thickBot="1">
      <c r="A32" s="96" t="s">
        <v>43</v>
      </c>
      <c r="B32" s="29" t="s">
        <v>25</v>
      </c>
      <c r="C32" s="67">
        <v>826.1</v>
      </c>
      <c r="D32" s="42">
        <v>-847.56</v>
      </c>
      <c r="E32" s="77">
        <f>SUM(E9-E14)</f>
        <v>-580.859999999997</v>
      </c>
      <c r="F32" s="52">
        <f>SUM(F9-F14)</f>
        <v>-10904.2</v>
      </c>
      <c r="G32" s="52">
        <f>SUM(G9-G14)</f>
        <v>4933.830000000005</v>
      </c>
      <c r="H32" s="118">
        <f>SUM(H9-H14)-H30</f>
        <v>4762.473999999998</v>
      </c>
      <c r="I32" s="118">
        <f>SUM(I9-I14)-I30</f>
        <v>7674.5239999999985</v>
      </c>
      <c r="J32" s="58">
        <f>SUM(J9-J14)-J30</f>
        <v>-2619.3960000000034</v>
      </c>
      <c r="K32" s="128">
        <f>SUM(K9+K10-K14)-K30</f>
        <v>-100.5880000000001</v>
      </c>
      <c r="L32" s="128">
        <f>SUM(L31+K32)</f>
        <v>-58.32600000000005</v>
      </c>
      <c r="M32" s="128">
        <f aca="true" t="shared" si="8" ref="M32:V32">SUM(M31+L32)</f>
        <v>19.695999999999756</v>
      </c>
      <c r="N32" s="128">
        <f t="shared" si="8"/>
        <v>-998.2419999999997</v>
      </c>
      <c r="O32" s="128">
        <f t="shared" si="8"/>
        <v>-916.7499999999999</v>
      </c>
      <c r="P32" s="128">
        <f t="shared" si="8"/>
        <v>-767.6579999999999</v>
      </c>
      <c r="Q32" s="128">
        <f t="shared" si="8"/>
        <v>-1170.366</v>
      </c>
      <c r="R32" s="128">
        <f t="shared" si="8"/>
        <v>-1251.6540000000002</v>
      </c>
      <c r="S32" s="128">
        <f t="shared" si="8"/>
        <v>-1205.1920000000002</v>
      </c>
      <c r="T32" s="128">
        <f t="shared" si="8"/>
        <v>-1173.4900000000005</v>
      </c>
      <c r="U32" s="128">
        <f t="shared" si="8"/>
        <v>-1058.0240000000003</v>
      </c>
      <c r="V32" s="128">
        <f t="shared" si="8"/>
        <v>-969.8380000000002</v>
      </c>
      <c r="W32" s="52"/>
      <c r="X32" s="54"/>
    </row>
    <row r="33" spans="1:24" ht="23.25" customHeight="1" hidden="1" thickBot="1">
      <c r="A33" s="91" t="s">
        <v>44</v>
      </c>
      <c r="B33" s="30" t="s">
        <v>26</v>
      </c>
      <c r="C33" s="125">
        <v>826.1</v>
      </c>
      <c r="D33" s="43">
        <v>-21.46</v>
      </c>
      <c r="E33" s="14">
        <f>SUM(E9-E14,D33)</f>
        <v>-602.319999999997</v>
      </c>
      <c r="F33" s="55">
        <f>SUM(F9-F14,E33)</f>
        <v>-11506.519999999997</v>
      </c>
      <c r="G33" s="55">
        <f>SUM(G9-G14,F33)</f>
        <v>-6572.689999999991</v>
      </c>
      <c r="H33" s="126">
        <f>SUM(H32+G33)</f>
        <v>-1810.215999999993</v>
      </c>
      <c r="I33" s="126">
        <f>SUM(I32+H33)</f>
        <v>5864.308000000005</v>
      </c>
      <c r="J33" s="94">
        <f>SUM(J32+I33)</f>
        <v>3244.912000000002</v>
      </c>
      <c r="K33" s="94">
        <f>SUM(K32+J33)</f>
        <v>3144.324000000002</v>
      </c>
      <c r="L33" s="127">
        <f>SUM(L31+K33)</f>
        <v>3186.586000000002</v>
      </c>
      <c r="M33" s="127">
        <f aca="true" t="shared" si="9" ref="M33:U33">SUM(M31+L33)</f>
        <v>3264.608000000002</v>
      </c>
      <c r="N33" s="127">
        <f t="shared" si="9"/>
        <v>2246.6700000000023</v>
      </c>
      <c r="O33" s="127">
        <f t="shared" si="9"/>
        <v>2328.162000000002</v>
      </c>
      <c r="P33" s="127">
        <f t="shared" si="9"/>
        <v>2477.254000000002</v>
      </c>
      <c r="Q33" s="127">
        <f t="shared" si="9"/>
        <v>2074.546000000002</v>
      </c>
      <c r="R33" s="127">
        <f t="shared" si="9"/>
        <v>1993.2580000000019</v>
      </c>
      <c r="S33" s="127">
        <f t="shared" si="9"/>
        <v>2039.7200000000018</v>
      </c>
      <c r="T33" s="127">
        <f t="shared" si="9"/>
        <v>2071.422000000002</v>
      </c>
      <c r="U33" s="127">
        <f t="shared" si="9"/>
        <v>2186.888000000002</v>
      </c>
      <c r="V33" s="127">
        <f>SUM(V31+U33)-0.01</f>
        <v>2275.064000000002</v>
      </c>
      <c r="W33" s="55"/>
      <c r="X33" s="66"/>
    </row>
    <row r="34" spans="1:24" ht="23.25" hidden="1" thickBot="1">
      <c r="A34" s="33" t="s">
        <v>45</v>
      </c>
      <c r="B34" s="29" t="s">
        <v>9</v>
      </c>
      <c r="C34" s="37"/>
      <c r="D34" s="43"/>
      <c r="E34" s="37"/>
      <c r="F34" s="37"/>
      <c r="G34" s="37"/>
      <c r="H34" s="37"/>
      <c r="I34" s="37"/>
      <c r="J34" s="3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4"/>
      <c r="W34" s="52"/>
      <c r="X34" s="53"/>
    </row>
    <row r="35" spans="1:24" ht="15" customHeight="1" hidden="1" thickBot="1">
      <c r="A35" s="34" t="s">
        <v>46</v>
      </c>
      <c r="B35" s="30" t="s">
        <v>27</v>
      </c>
      <c r="C35" s="37"/>
      <c r="D35" s="43"/>
      <c r="E35" s="37"/>
      <c r="F35" s="37"/>
      <c r="G35" s="37"/>
      <c r="H35" s="37"/>
      <c r="I35" s="37"/>
      <c r="J35" s="3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4"/>
      <c r="W35" s="55"/>
      <c r="X35" s="52"/>
    </row>
    <row r="36" spans="1:24" ht="24" customHeight="1" hidden="1" thickBot="1">
      <c r="A36" s="34" t="s">
        <v>50</v>
      </c>
      <c r="B36" s="31" t="s">
        <v>51</v>
      </c>
      <c r="C36" s="38"/>
      <c r="D36" s="44"/>
      <c r="E36" s="38"/>
      <c r="F36" s="38"/>
      <c r="G36" s="38"/>
      <c r="H36" s="38"/>
      <c r="I36" s="38"/>
      <c r="J36" s="38"/>
      <c r="K36" s="7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>
        <f>SUM(V32-V34)</f>
        <v>-969.8380000000002</v>
      </c>
      <c r="W36" s="56"/>
      <c r="X36" s="68"/>
    </row>
    <row r="37" spans="1:24" ht="24" customHeight="1" hidden="1" thickBot="1">
      <c r="A37" s="59" t="s">
        <v>54</v>
      </c>
      <c r="B37" s="31" t="s">
        <v>28</v>
      </c>
      <c r="C37" s="38"/>
      <c r="D37" s="44"/>
      <c r="E37" s="38"/>
      <c r="F37" s="16"/>
      <c r="G37" s="16"/>
      <c r="H37" s="16"/>
      <c r="I37" s="16"/>
      <c r="J37" s="16"/>
      <c r="K37" s="7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>
        <f>SUM(V33-V34)</f>
        <v>2275.064000000002</v>
      </c>
      <c r="W37" s="56"/>
      <c r="X37" s="68"/>
    </row>
    <row r="38" spans="3:24" ht="7.5" customHeight="1" hidden="1">
      <c r="C38" s="16"/>
      <c r="D38" s="16"/>
      <c r="E38" s="16"/>
      <c r="F38" s="16"/>
      <c r="G38" s="16"/>
      <c r="H38" s="16"/>
      <c r="I38" s="16"/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</row>
    <row r="39" spans="2:24" ht="24" customHeight="1" hidden="1"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</row>
    <row r="40" ht="12.75" hidden="1"/>
    <row r="41" ht="0.75" customHeight="1" hidden="1"/>
    <row r="42" ht="12.75" hidden="1"/>
    <row r="43" ht="12.75" hidden="1"/>
    <row r="44" ht="12.75">
      <c r="B44" t="s">
        <v>75</v>
      </c>
    </row>
    <row r="48" ht="12.75" customHeight="1"/>
    <row r="49" ht="12.75" customHeight="1"/>
  </sheetData>
  <sheetProtection/>
  <mergeCells count="5">
    <mergeCell ref="B5:X5"/>
    <mergeCell ref="B6:X6"/>
    <mergeCell ref="B4:X4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2018-02-02T07:59:31Z</cp:lastPrinted>
  <dcterms:created xsi:type="dcterms:W3CDTF">2011-06-16T11:06:26Z</dcterms:created>
  <dcterms:modified xsi:type="dcterms:W3CDTF">2018-02-12T06:17:21Z</dcterms:modified>
  <cp:category/>
  <cp:version/>
  <cp:contentType/>
  <cp:contentStatus/>
</cp:coreProperties>
</file>