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<sst xmlns="http://schemas.openxmlformats.org/spreadsheetml/2006/main" count="72" uniqueCount="72">
  <si>
    <t>СПРАВКА</t>
  </si>
  <si>
    <t xml:space="preserve">Начислено  </t>
  </si>
  <si>
    <t>Оплачено</t>
  </si>
  <si>
    <t>Расходы</t>
  </si>
  <si>
    <t>Услуги РИРЦ</t>
  </si>
  <si>
    <t>Вывоз ТБО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</si>
  <si>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</si>
  <si>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</si>
  <si>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</si>
  <si>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</si>
  <si>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</si>
  <si>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</si>
  <si>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</si>
  <si>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</si>
  <si>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</si>
  <si>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</si>
  <si>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</si>
  <si>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</si>
  <si>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</si>
  <si>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</si>
  <si>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</si>
  <si>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</si>
  <si>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</si>
  <si>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</si>
  <si>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</si>
  <si>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</si>
  <si>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</si>
  <si>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Финансовый результат по дому с начала деятельности</t>
  </si>
  <si>
    <t>№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</si>
  <si>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</si>
  <si>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</si>
  <si>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</si>
  <si>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</si>
  <si>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</si>
  <si>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</si>
  <si>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</si>
  <si>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</si>
  <si>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</si>
  <si>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</si>
  <si>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</si>
  <si>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по жилому дому г. Унеча пер.Крупской д.5</t>
  </si>
  <si>
    <t>за 2010 г.</t>
  </si>
  <si>
    <t>Финансовый результат по дому с начала года</t>
  </si>
  <si>
    <t>10</t>
  </si>
  <si>
    <t>Задолженность на 01.__________.2011г. РИРЦ</t>
  </si>
  <si>
    <t>Итого 2011 г</t>
  </si>
  <si>
    <t>Проверка дымовых каналов</t>
  </si>
  <si>
    <t>Результат за месяц</t>
  </si>
  <si>
    <t>Благоустройство территории</t>
  </si>
  <si>
    <t>4.12</t>
  </si>
  <si>
    <t>4.13</t>
  </si>
  <si>
    <t>5</t>
  </si>
  <si>
    <t>Итого 2012 г</t>
  </si>
  <si>
    <t>Итого 2013 г</t>
  </si>
  <si>
    <t xml:space="preserve">%  оплаты </t>
  </si>
  <si>
    <t>Итого 2014 г</t>
  </si>
  <si>
    <t xml:space="preserve">Материалы </t>
  </si>
  <si>
    <t>рентабельность 5%</t>
  </si>
  <si>
    <t>Дом по пер.Крупской д.5 вступил в ООО "Наш дом"  в феврале 2010г.                        Тариф  9,32 руб.</t>
  </si>
  <si>
    <t>Итого 2015 г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</si>
  <si>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</si>
  <si>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</si>
  <si>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</si>
  <si>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Услуги сторонних орган.</t>
  </si>
  <si>
    <t>Исполнитель  вед. экономист/Викторова Л.С./</t>
  </si>
  <si>
    <t>Итого 2016 г</t>
  </si>
  <si>
    <t>Итого 2017 г</t>
  </si>
  <si>
    <t>Всего 2010-2017</t>
  </si>
  <si>
    <t>Начислено СОИД</t>
  </si>
  <si>
    <t>Электроэнергия СОИД</t>
  </si>
  <si>
    <t>Холдодная вода СОИД</t>
  </si>
  <si>
    <t>Канализация СОИД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</si>
</sst>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1" fillId="0" borderId="0" xfId="0" applyFont="1" applyBorder="1" applyAlignment="1">
      <alignment wrapText="1"/>
    </xf>
    <xf numFmtId="0" fontId="20" fillId="2" borderId="0" xfId="0" applyFont="1" applyFill="1" applyBorder="1" applyAlignment="1">
      <alignment wrapText="1"/>
    </xf>
    <xf numFmtId="0" fontId="19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49" fontId="23" fillId="0" borderId="10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wrapText="1"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12" xfId="0" applyFont="1" applyBorder="1" applyAlignment="1">
      <alignment/>
    </xf>
    <xf numFmtId="0" fontId="25" fillId="0" borderId="23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23" xfId="0" applyFont="1" applyBorder="1" applyAlignment="1">
      <alignment horizontal="left" wrapText="1"/>
    </xf>
    <xf numFmtId="1" fontId="20" fillId="0" borderId="26" xfId="0" applyNumberFormat="1" applyFont="1" applyBorder="1" applyAlignment="1">
      <alignment horizontal="center"/>
    </xf>
    <xf numFmtId="1" fontId="20" fillId="0" borderId="27" xfId="0" applyNumberFormat="1" applyFont="1" applyBorder="1" applyAlignment="1">
      <alignment horizontal="center"/>
    </xf>
    <xf numFmtId="1" fontId="20" fillId="0" borderId="11" xfId="0" applyNumberFormat="1" applyFont="1" applyBorder="1" applyAlignment="1">
      <alignment horizontal="center"/>
    </xf>
    <xf numFmtId="0" fontId="25" fillId="0" borderId="13" xfId="0" applyFont="1" applyBorder="1" applyAlignment="1">
      <alignment wrapText="1"/>
    </xf>
    <xf numFmtId="0" fontId="20" fillId="0" borderId="28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14" xfId="0" applyFont="1" applyBorder="1" applyAlignment="1">
      <alignment/>
    </xf>
    <xf numFmtId="0" fontId="19" fillId="0" borderId="13" xfId="0" applyFont="1" applyBorder="1" applyAlignment="1">
      <alignment/>
    </xf>
    <xf numFmtId="49" fontId="20" fillId="0" borderId="19" xfId="0" applyNumberFormat="1" applyFont="1" applyBorder="1" applyAlignment="1">
      <alignment wrapText="1"/>
    </xf>
    <xf numFmtId="2" fontId="20" fillId="0" borderId="25" xfId="0" applyNumberFormat="1" applyFont="1" applyBorder="1" applyAlignment="1">
      <alignment horizontal="right" wrapText="1"/>
    </xf>
    <xf numFmtId="2" fontId="20" fillId="0" borderId="30" xfId="0" applyNumberFormat="1" applyFont="1" applyBorder="1" applyAlignment="1">
      <alignment horizontal="right" wrapText="1"/>
    </xf>
    <xf numFmtId="2" fontId="20" fillId="0" borderId="21" xfId="0" applyNumberFormat="1" applyFont="1" applyBorder="1" applyAlignment="1">
      <alignment/>
    </xf>
    <xf numFmtId="2" fontId="20" fillId="0" borderId="22" xfId="0" applyNumberFormat="1" applyFont="1" applyBorder="1" applyAlignment="1">
      <alignment/>
    </xf>
    <xf numFmtId="0" fontId="20" fillId="0" borderId="23" xfId="0" applyFont="1" applyBorder="1" applyAlignment="1">
      <alignment wrapText="1"/>
    </xf>
    <xf numFmtId="0" fontId="20" fillId="0" borderId="10" xfId="0" applyFont="1" applyBorder="1" applyAlignment="1">
      <alignment horizontal="right" wrapText="1"/>
    </xf>
    <xf numFmtId="0" fontId="20" fillId="0" borderId="27" xfId="0" applyFont="1" applyBorder="1" applyAlignment="1">
      <alignment horizontal="right" wrapText="1"/>
    </xf>
    <xf numFmtId="0" fontId="20" fillId="0" borderId="31" xfId="0" applyFont="1" applyBorder="1" applyAlignment="1">
      <alignment wrapText="1"/>
    </xf>
    <xf numFmtId="0" fontId="20" fillId="0" borderId="11" xfId="0" applyFont="1" applyBorder="1" applyAlignment="1">
      <alignment horizontal="right" wrapText="1"/>
    </xf>
    <xf numFmtId="0" fontId="20" fillId="0" borderId="32" xfId="0" applyFont="1" applyBorder="1" applyAlignment="1">
      <alignment horizontal="right" wrapText="1"/>
    </xf>
    <xf numFmtId="0" fontId="20" fillId="0" borderId="33" xfId="0" applyFont="1" applyBorder="1" applyAlignment="1">
      <alignment/>
    </xf>
    <xf numFmtId="0" fontId="20" fillId="0" borderId="34" xfId="0" applyFont="1" applyBorder="1" applyAlignment="1">
      <alignment/>
    </xf>
    <xf numFmtId="0" fontId="20" fillId="0" borderId="35" xfId="0" applyFont="1" applyBorder="1" applyAlignment="1">
      <alignment wrapText="1"/>
    </xf>
    <xf numFmtId="0" fontId="20" fillId="0" borderId="17" xfId="0" applyFont="1" applyBorder="1" applyAlignment="1">
      <alignment horizontal="right" wrapText="1"/>
    </xf>
    <xf numFmtId="0" fontId="20" fillId="0" borderId="36" xfId="0" applyFont="1" applyBorder="1" applyAlignment="1">
      <alignment horizontal="right" wrapText="1"/>
    </xf>
    <xf numFmtId="0" fontId="20" fillId="0" borderId="14" xfId="0" applyFont="1" applyBorder="1" applyAlignment="1">
      <alignment wrapText="1"/>
    </xf>
    <xf numFmtId="0" fontId="20" fillId="0" borderId="16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wrapText="1"/>
    </xf>
    <xf numFmtId="0" fontId="20" fillId="0" borderId="37" xfId="0" applyFont="1" applyBorder="1" applyAlignment="1">
      <alignment wrapText="1"/>
    </xf>
    <xf numFmtId="0" fontId="20" fillId="0" borderId="29" xfId="0" applyFont="1" applyBorder="1" applyAlignment="1">
      <alignment wrapText="1"/>
    </xf>
    <xf numFmtId="0" fontId="20" fillId="0" borderId="35" xfId="0" applyFont="1" applyBorder="1" applyAlignment="1">
      <alignment/>
    </xf>
    <xf numFmtId="0" fontId="20" fillId="0" borderId="38" xfId="0" applyFont="1" applyBorder="1" applyAlignment="1">
      <alignment wrapText="1"/>
    </xf>
    <xf numFmtId="0" fontId="20" fillId="0" borderId="17" xfId="0" applyFont="1" applyBorder="1" applyAlignment="1">
      <alignment wrapText="1"/>
    </xf>
    <xf numFmtId="0" fontId="20" fillId="0" borderId="36" xfId="0" applyFont="1" applyBorder="1" applyAlignment="1">
      <alignment wrapText="1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/>
    </xf>
    <xf numFmtId="0" fontId="20" fillId="0" borderId="17" xfId="0" applyFont="1" applyBorder="1" applyAlignment="1">
      <alignment/>
    </xf>
    <xf numFmtId="0" fontId="20" fillId="2" borderId="38" xfId="0" applyFont="1" applyFill="1" applyBorder="1" applyAlignment="1">
      <alignment wrapText="1"/>
    </xf>
    <xf numFmtId="0" fontId="20" fillId="2" borderId="17" xfId="0" applyFont="1" applyFill="1" applyBorder="1" applyAlignment="1">
      <alignment wrapText="1"/>
    </xf>
    <xf numFmtId="0" fontId="20" fillId="2" borderId="36" xfId="0" applyFont="1" applyFill="1" applyBorder="1" applyAlignment="1">
      <alignment wrapText="1"/>
    </xf>
    <xf numFmtId="0" fontId="19" fillId="2" borderId="39" xfId="0" applyFont="1" applyFill="1" applyBorder="1" applyAlignment="1">
      <alignment/>
    </xf>
    <xf numFmtId="0" fontId="19" fillId="2" borderId="41" xfId="0" applyFont="1" applyFill="1" applyBorder="1" applyAlignment="1">
      <alignment/>
    </xf>
    <xf numFmtId="0" fontId="19" fillId="2" borderId="36" xfId="0" applyFont="1" applyFill="1" applyBorder="1" applyAlignment="1">
      <alignment/>
    </xf>
    <xf numFmtId="0" fontId="19" fillId="2" borderId="17" xfId="0" applyFont="1" applyFill="1" applyBorder="1" applyAlignment="1">
      <alignment/>
    </xf>
    <xf numFmtId="0" fontId="20" fillId="2" borderId="13" xfId="0" applyFont="1" applyFill="1" applyBorder="1" applyAlignment="1">
      <alignment/>
    </xf>
    <xf numFmtId="0" fontId="19" fillId="0" borderId="14" xfId="0" applyFont="1" applyBorder="1" applyAlignment="1">
      <alignment/>
    </xf>
    <xf numFmtId="0" fontId="19" fillId="2" borderId="14" xfId="0" applyFont="1" applyFill="1" applyBorder="1" applyAlignment="1">
      <alignment/>
    </xf>
    <xf numFmtId="49" fontId="20" fillId="0" borderId="10" xfId="0" applyNumberFormat="1" applyFont="1" applyBorder="1" applyAlignment="1">
      <alignment horizontal="center"/>
    </xf>
    <xf numFmtId="0" fontId="20" fillId="0" borderId="42" xfId="0" applyFont="1" applyBorder="1" applyAlignment="1">
      <alignment/>
    </xf>
    <xf numFmtId="0" fontId="20" fillId="0" borderId="26" xfId="0" applyFont="1" applyBorder="1" applyAlignment="1">
      <alignment/>
    </xf>
    <xf numFmtId="2" fontId="20" fillId="0" borderId="43" xfId="0" applyNumberFormat="1" applyFont="1" applyBorder="1" applyAlignment="1">
      <alignment/>
    </xf>
    <xf numFmtId="0" fontId="20" fillId="0" borderId="44" xfId="0" applyFont="1" applyBorder="1" applyAlignment="1">
      <alignment/>
    </xf>
    <xf numFmtId="0" fontId="25" fillId="0" borderId="12" xfId="0" applyFont="1" applyBorder="1" applyAlignment="1">
      <alignment wrapText="1"/>
    </xf>
    <xf numFmtId="0" fontId="25" fillId="0" borderId="45" xfId="0" applyFont="1" applyBorder="1" applyAlignment="1">
      <alignment wrapText="1"/>
    </xf>
    <xf numFmtId="0" fontId="25" fillId="0" borderId="46" xfId="0" applyFont="1" applyBorder="1" applyAlignment="1">
      <alignment wrapText="1"/>
    </xf>
    <xf numFmtId="2" fontId="20" fillId="0" borderId="17" xfId="0" applyNumberFormat="1" applyFont="1" applyBorder="1" applyAlignment="1">
      <alignment/>
    </xf>
    <xf numFmtId="2" fontId="20" fillId="0" borderId="36" xfId="0" applyNumberFormat="1" applyFont="1" applyBorder="1" applyAlignment="1">
      <alignment/>
    </xf>
    <xf numFmtId="2" fontId="20" fillId="0" borderId="29" xfId="0" applyNumberFormat="1" applyFont="1" applyBorder="1" applyAlignment="1">
      <alignment/>
    </xf>
    <xf numFmtId="2" fontId="20" fillId="0" borderId="14" xfId="0" applyNumberFormat="1" applyFont="1" applyBorder="1" applyAlignment="1">
      <alignment/>
    </xf>
    <xf numFmtId="0" fontId="24" fillId="0" borderId="47" xfId="0" applyFont="1" applyBorder="1" applyAlignment="1">
      <alignment horizontal="center" vertical="center" wrapText="1"/>
    </xf>
    <xf numFmtId="0" fontId="25" fillId="0" borderId="48" xfId="0" applyFont="1" applyBorder="1" applyAlignment="1">
      <alignment wrapText="1"/>
    </xf>
    <xf numFmtId="2" fontId="20" fillId="0" borderId="45" xfId="0" applyNumberFormat="1" applyFont="1" applyBorder="1" applyAlignment="1">
      <alignment horizontal="right" wrapText="1"/>
    </xf>
    <xf numFmtId="0" fontId="20" fillId="0" borderId="46" xfId="0" applyFont="1" applyBorder="1" applyAlignment="1">
      <alignment horizontal="right" wrapText="1"/>
    </xf>
    <xf numFmtId="0" fontId="20" fillId="0" borderId="49" xfId="0" applyFont="1" applyBorder="1" applyAlignment="1">
      <alignment horizontal="right" wrapText="1"/>
    </xf>
    <xf numFmtId="0" fontId="20" fillId="0" borderId="50" xfId="0" applyFont="1" applyBorder="1" applyAlignment="1">
      <alignment horizontal="right" wrapText="1"/>
    </xf>
    <xf numFmtId="0" fontId="20" fillId="0" borderId="47" xfId="0" applyFont="1" applyBorder="1" applyAlignment="1">
      <alignment/>
    </xf>
    <xf numFmtId="0" fontId="20" fillId="0" borderId="50" xfId="0" applyFont="1" applyBorder="1" applyAlignment="1">
      <alignment/>
    </xf>
    <xf numFmtId="2" fontId="20" fillId="0" borderId="38" xfId="0" applyNumberFormat="1" applyFont="1" applyBorder="1" applyAlignment="1">
      <alignment/>
    </xf>
    <xf numFmtId="1" fontId="20" fillId="0" borderId="10" xfId="0" applyNumberFormat="1" applyFont="1" applyBorder="1" applyAlignment="1">
      <alignment horizontal="center"/>
    </xf>
    <xf numFmtId="0" fontId="26" fillId="0" borderId="19" xfId="0" applyFont="1" applyBorder="1" applyAlignment="1">
      <alignment/>
    </xf>
    <xf numFmtId="1" fontId="26" fillId="0" borderId="26" xfId="0" applyNumberFormat="1" applyFont="1" applyBorder="1" applyAlignment="1">
      <alignment horizontal="center"/>
    </xf>
    <xf numFmtId="0" fontId="26" fillId="0" borderId="13" xfId="0" applyFont="1" applyBorder="1" applyAlignment="1">
      <alignment/>
    </xf>
    <xf numFmtId="2" fontId="26" fillId="0" borderId="12" xfId="0" applyNumberFormat="1" applyFont="1" applyBorder="1" applyAlignment="1">
      <alignment horizontal="right"/>
    </xf>
    <xf numFmtId="0" fontId="26" fillId="0" borderId="25" xfId="0" applyFont="1" applyBorder="1" applyAlignment="1">
      <alignment/>
    </xf>
    <xf numFmtId="0" fontId="26" fillId="0" borderId="17" xfId="0" applyFont="1" applyBorder="1" applyAlignment="1">
      <alignment/>
    </xf>
    <xf numFmtId="2" fontId="20" fillId="0" borderId="50" xfId="0" applyNumberFormat="1" applyFont="1" applyBorder="1" applyAlignment="1">
      <alignment/>
    </xf>
    <xf numFmtId="2" fontId="20" fillId="0" borderId="47" xfId="0" applyNumberFormat="1" applyFont="1" applyBorder="1" applyAlignment="1">
      <alignment/>
    </xf>
    <xf numFmtId="0" fontId="25" fillId="0" borderId="25" xfId="0" applyFont="1" applyBorder="1" applyAlignment="1">
      <alignment wrapText="1"/>
    </xf>
    <xf numFmtId="0" fontId="20" fillId="0" borderId="37" xfId="0" applyFont="1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49" fontId="20" fillId="0" borderId="51" xfId="0" applyNumberFormat="1" applyFont="1" applyBorder="1" applyAlignment="1">
      <alignment horizontal="center"/>
    </xf>
    <xf numFmtId="0" fontId="20" fillId="0" borderId="37" xfId="0" applyFont="1" applyBorder="1" applyAlignment="1">
      <alignment horizontal="right" wrapText="1"/>
    </xf>
    <xf numFmtId="0" fontId="20" fillId="0" borderId="0" xfId="0" applyFont="1" applyBorder="1" applyAlignment="1">
      <alignment horizontal="right" wrapText="1"/>
    </xf>
    <xf numFmtId="0" fontId="20" fillId="0" borderId="52" xfId="0" applyFont="1" applyBorder="1" applyAlignment="1">
      <alignment horizontal="right" wrapText="1"/>
    </xf>
    <xf numFmtId="2" fontId="20" fillId="0" borderId="53" xfId="0" applyNumberFormat="1" applyFont="1" applyBorder="1" applyAlignment="1">
      <alignment/>
    </xf>
    <xf numFmtId="2" fontId="20" fillId="0" borderId="54" xfId="0" applyNumberFormat="1" applyFont="1" applyBorder="1" applyAlignment="1">
      <alignment/>
    </xf>
    <xf numFmtId="2" fontId="20" fillId="0" borderId="37" xfId="0" applyNumberFormat="1" applyFont="1" applyBorder="1" applyAlignment="1">
      <alignment/>
    </xf>
    <xf numFmtId="49" fontId="20" fillId="0" borderId="25" xfId="0" applyNumberFormat="1" applyFont="1" applyBorder="1" applyAlignment="1">
      <alignment horizontal="center"/>
    </xf>
    <xf numFmtId="49" fontId="20" fillId="0" borderId="14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zoomScalePageLayoutView="0" workbookViewId="0" topLeftCell="A7">
      <selection activeCell="M24" sqref="M24"/>
    </sheetView>
  </sheetViews>
  <sheetFormatPr defaultColWidth="9.00390625" defaultRowHeight="12.75"/>
  <cols>
    <col min="1" max="1" width="4.00390625" style="8" customWidth="1"/>
    <col min="2" max="2" width="20.00390625" style="0" customWidth="1"/>
    <col min="3" max="3" width="0.12890625" style="0" hidden="1" customWidth="1"/>
    <col min="4" max="4" width="8.25390625" style="0" hidden="1" customWidth="1"/>
    <col min="5" max="5" width="7.25390625" style="0" hidden="1" customWidth="1"/>
    <col min="6" max="6" width="7.75390625" style="0" hidden="1" customWidth="1"/>
    <col min="7" max="8" width="8.125" style="0" hidden="1" customWidth="1"/>
    <col min="9" max="9" width="8.625" style="0" hidden="1" customWidth="1"/>
    <col min="10" max="10" width="8.375" style="0" customWidth="1"/>
    <col min="11" max="11" width="8.875" style="0" customWidth="1"/>
    <col min="12" max="12" width="8.375" style="0" customWidth="1"/>
    <col min="13" max="13" width="8.625" style="0" customWidth="1"/>
    <col min="14" max="14" width="7.875" style="0" customWidth="1"/>
    <col min="15" max="15" width="8.625" style="0" customWidth="1"/>
    <col min="16" max="16" width="8.375" style="0" customWidth="1"/>
    <col min="17" max="17" width="8.625" style="0" customWidth="1"/>
    <col min="18" max="18" width="8.875" style="0" customWidth="1"/>
    <col min="19" max="19" width="8.25390625" style="0" customWidth="1"/>
    <col min="20" max="20" width="8.75390625" style="0" customWidth="1"/>
    <col min="21" max="21" width="9.00390625" style="0" customWidth="1"/>
    <col min="22" max="22" width="10.125" style="0" customWidth="1"/>
    <col min="23" max="23" width="10.375" style="0" hidden="1" customWidth="1"/>
  </cols>
  <sheetData>
    <row r="1" spans="2:28" ht="12.75" customHeight="1">
      <c r="B1" s="112" t="s">
        <v>10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 customHeight="1">
      <c r="B2" s="112" t="s">
        <v>58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ht="12.75" customHeight="1">
      <c r="B3" s="111" t="s">
        <v>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3"/>
      <c r="Y3" s="3"/>
      <c r="Z3" s="3"/>
      <c r="AA3" s="3"/>
      <c r="AB3" s="3"/>
    </row>
    <row r="4" spans="2:28" ht="15" customHeight="1">
      <c r="B4" s="110" t="s">
        <v>12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2"/>
      <c r="Y4" s="2"/>
      <c r="Z4" s="2"/>
      <c r="AA4" s="2"/>
      <c r="AB4" s="2"/>
    </row>
    <row r="5" spans="2:28" ht="16.5" customHeight="1">
      <c r="B5" s="110" t="s">
        <v>40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2"/>
      <c r="Y5" s="2"/>
      <c r="Z5" s="2"/>
      <c r="AA5" s="2"/>
      <c r="AB5" s="2"/>
    </row>
    <row r="6" spans="2:28" ht="0.75" customHeight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2"/>
      <c r="Y6" s="2"/>
      <c r="Z6" s="2"/>
      <c r="AA6" s="2"/>
      <c r="AB6" s="2"/>
    </row>
    <row r="7" spans="1:28" ht="27" customHeight="1" thickBot="1">
      <c r="A7" s="11" t="s">
        <v>28</v>
      </c>
      <c r="B7" s="12" t="s">
        <v>8</v>
      </c>
      <c r="C7" s="13" t="s">
        <v>41</v>
      </c>
      <c r="D7" s="16" t="s">
        <v>45</v>
      </c>
      <c r="E7" s="16" t="s">
        <v>52</v>
      </c>
      <c r="F7" s="90" t="s">
        <v>53</v>
      </c>
      <c r="G7" s="16" t="s">
        <v>55</v>
      </c>
      <c r="H7" s="16" t="s">
        <v>59</v>
      </c>
      <c r="I7" s="16" t="s">
        <v>65</v>
      </c>
      <c r="J7" s="19" t="s">
        <v>13</v>
      </c>
      <c r="K7" s="14" t="s">
        <v>14</v>
      </c>
      <c r="L7" s="14" t="s">
        <v>15</v>
      </c>
      <c r="M7" s="14" t="s">
        <v>16</v>
      </c>
      <c r="N7" s="14" t="s">
        <v>17</v>
      </c>
      <c r="O7" s="14" t="s">
        <v>18</v>
      </c>
      <c r="P7" s="14" t="s">
        <v>19</v>
      </c>
      <c r="Q7" s="14" t="s">
        <v>20</v>
      </c>
      <c r="R7" s="14" t="s">
        <v>21</v>
      </c>
      <c r="S7" s="14" t="s">
        <v>22</v>
      </c>
      <c r="T7" s="14" t="s">
        <v>24</v>
      </c>
      <c r="U7" s="15" t="s">
        <v>23</v>
      </c>
      <c r="V7" s="16" t="s">
        <v>66</v>
      </c>
      <c r="W7" s="17" t="s">
        <v>67</v>
      </c>
      <c r="X7" s="1"/>
      <c r="Y7" s="1"/>
      <c r="Z7" s="1"/>
      <c r="AA7" s="1"/>
      <c r="AB7" s="1"/>
    </row>
    <row r="8" spans="1:23" ht="13.5" thickBot="1">
      <c r="A8" s="78">
        <v>1</v>
      </c>
      <c r="B8" s="20" t="s">
        <v>1</v>
      </c>
      <c r="C8" s="84">
        <v>40966.31</v>
      </c>
      <c r="D8" s="83">
        <v>49362.16</v>
      </c>
      <c r="E8" s="83">
        <v>50556.99</v>
      </c>
      <c r="F8" s="91">
        <v>50667.94</v>
      </c>
      <c r="G8" s="83">
        <v>50898.24</v>
      </c>
      <c r="H8" s="84">
        <v>50898.24</v>
      </c>
      <c r="I8" s="83">
        <v>50898.24</v>
      </c>
      <c r="J8" s="80">
        <v>4241.52</v>
      </c>
      <c r="K8" s="22">
        <v>4233.14</v>
      </c>
      <c r="L8" s="22">
        <v>4238.74</v>
      </c>
      <c r="M8" s="22">
        <v>4238.74</v>
      </c>
      <c r="N8" s="22">
        <v>4252.72</v>
      </c>
      <c r="O8" s="22">
        <v>4252.72</v>
      </c>
      <c r="P8" s="22">
        <v>4252.72</v>
      </c>
      <c r="Q8" s="22">
        <v>4252.72</v>
      </c>
      <c r="R8" s="22">
        <v>4252.72</v>
      </c>
      <c r="S8" s="22">
        <v>4252.72</v>
      </c>
      <c r="T8" s="22">
        <v>4252.72</v>
      </c>
      <c r="U8" s="23">
        <v>4252.72</v>
      </c>
      <c r="V8" s="24">
        <f>SUM(J8:U8)</f>
        <v>50973.90000000001</v>
      </c>
      <c r="W8" s="100">
        <f>SUM(C8:U8)</f>
        <v>395222.0199999998</v>
      </c>
    </row>
    <row r="9" spans="1:23" ht="12.75">
      <c r="A9" s="78"/>
      <c r="B9" s="20" t="s">
        <v>68</v>
      </c>
      <c r="C9" s="84"/>
      <c r="D9" s="108"/>
      <c r="E9" s="108"/>
      <c r="F9" s="84"/>
      <c r="G9" s="108"/>
      <c r="H9" s="84"/>
      <c r="I9" s="108">
        <v>0</v>
      </c>
      <c r="J9" s="80">
        <f>373.41+17.83</f>
        <v>391.24</v>
      </c>
      <c r="K9" s="22">
        <f>373.42+17.85</f>
        <v>391.27000000000004</v>
      </c>
      <c r="L9" s="22">
        <f>373.42+17.86</f>
        <v>391.28000000000003</v>
      </c>
      <c r="M9" s="22">
        <f>373.42+19.11</f>
        <v>392.53000000000003</v>
      </c>
      <c r="N9" s="22">
        <f>373.45+19.14</f>
        <v>392.59</v>
      </c>
      <c r="O9" s="22">
        <f>598.66+37.06+32.26</f>
        <v>667.98</v>
      </c>
      <c r="P9" s="22">
        <f aca="true" t="shared" si="0" ref="P9:U9">627.96+37.41+33.02</f>
        <v>698.39</v>
      </c>
      <c r="Q9" s="22">
        <f t="shared" si="0"/>
        <v>698.39</v>
      </c>
      <c r="R9" s="22">
        <f t="shared" si="0"/>
        <v>698.39</v>
      </c>
      <c r="S9" s="22">
        <f t="shared" si="0"/>
        <v>698.39</v>
      </c>
      <c r="T9" s="22">
        <f t="shared" si="0"/>
        <v>698.39</v>
      </c>
      <c r="U9" s="23">
        <f t="shared" si="0"/>
        <v>698.39</v>
      </c>
      <c r="V9" s="24">
        <f>SUM(J9:U9)</f>
        <v>6817.2300000000005</v>
      </c>
      <c r="W9" s="100">
        <f>SUM(C9:U9)</f>
        <v>6817.2300000000005</v>
      </c>
    </row>
    <row r="10" spans="1:23" ht="12.75">
      <c r="A10" s="78">
        <v>2</v>
      </c>
      <c r="B10" s="25" t="s">
        <v>2</v>
      </c>
      <c r="C10" s="85">
        <v>36013.92</v>
      </c>
      <c r="D10" s="26">
        <v>48884.29</v>
      </c>
      <c r="E10" s="26">
        <v>50208.38</v>
      </c>
      <c r="F10" s="85">
        <v>52258.56</v>
      </c>
      <c r="G10" s="26">
        <v>50558.25</v>
      </c>
      <c r="H10" s="85">
        <v>51238.23</v>
      </c>
      <c r="I10" s="26">
        <v>50898.24</v>
      </c>
      <c r="J10" s="80">
        <v>3482.88</v>
      </c>
      <c r="K10" s="21">
        <v>4441.69</v>
      </c>
      <c r="L10" s="21">
        <v>5930.2</v>
      </c>
      <c r="M10" s="21">
        <v>4273.94</v>
      </c>
      <c r="N10" s="21">
        <v>4267.74</v>
      </c>
      <c r="O10" s="21">
        <v>5008.84</v>
      </c>
      <c r="P10" s="21">
        <v>4593.95</v>
      </c>
      <c r="Q10" s="21">
        <v>5277.86</v>
      </c>
      <c r="R10" s="21">
        <v>4951.11</v>
      </c>
      <c r="S10" s="21">
        <v>4951.11</v>
      </c>
      <c r="T10" s="21">
        <v>4563.75</v>
      </c>
      <c r="U10" s="27">
        <v>4563.75</v>
      </c>
      <c r="V10" s="28">
        <f>SUM(J10:U10)</f>
        <v>56306.82</v>
      </c>
      <c r="W10" s="100">
        <f>SUM(C10:U10)</f>
        <v>396366.69</v>
      </c>
    </row>
    <row r="11" spans="1:23" ht="15" customHeight="1" thickBot="1">
      <c r="A11" s="78">
        <v>3</v>
      </c>
      <c r="B11" s="29" t="s">
        <v>54</v>
      </c>
      <c r="C11" s="31">
        <f aca="true" t="shared" si="1" ref="C11:J11">SUM(C10/C8*100)</f>
        <v>87.9110664348339</v>
      </c>
      <c r="D11" s="32">
        <f t="shared" si="1"/>
        <v>99.03191027297022</v>
      </c>
      <c r="E11" s="32">
        <f t="shared" si="1"/>
        <v>99.31046132295455</v>
      </c>
      <c r="F11" s="31">
        <f t="shared" si="1"/>
        <v>103.13930268331413</v>
      </c>
      <c r="G11" s="99">
        <f t="shared" si="1"/>
        <v>99.3320201248609</v>
      </c>
      <c r="H11" s="31">
        <f>SUM(H10/H8*100)</f>
        <v>100.66797987513911</v>
      </c>
      <c r="I11" s="99">
        <f>SUM(I10/I8*100)</f>
        <v>100</v>
      </c>
      <c r="J11" s="30">
        <f t="shared" si="1"/>
        <v>82.11395914672099</v>
      </c>
      <c r="K11" s="30">
        <f aca="true" t="shared" si="2" ref="K11:V11">SUM(K10/K8*100)</f>
        <v>104.9266029472212</v>
      </c>
      <c r="L11" s="30">
        <f t="shared" si="2"/>
        <v>139.90478302514427</v>
      </c>
      <c r="M11" s="30">
        <f t="shared" si="2"/>
        <v>100.83043545959411</v>
      </c>
      <c r="N11" s="30">
        <f t="shared" si="2"/>
        <v>100.35318572584133</v>
      </c>
      <c r="O11" s="30">
        <f t="shared" si="2"/>
        <v>117.7796798284392</v>
      </c>
      <c r="P11" s="30">
        <f t="shared" si="2"/>
        <v>108.02380594066857</v>
      </c>
      <c r="Q11" s="30">
        <f t="shared" si="2"/>
        <v>124.10551364773603</v>
      </c>
      <c r="R11" s="30">
        <f t="shared" si="2"/>
        <v>116.42219567711957</v>
      </c>
      <c r="S11" s="30">
        <f t="shared" si="2"/>
        <v>116.42219567711957</v>
      </c>
      <c r="T11" s="30">
        <f t="shared" si="2"/>
        <v>107.31367219097423</v>
      </c>
      <c r="U11" s="31">
        <f t="shared" si="2"/>
        <v>107.31367219097423</v>
      </c>
      <c r="V11" s="32">
        <f t="shared" si="2"/>
        <v>110.46205999540939</v>
      </c>
      <c r="W11" s="101">
        <f>SUM(W10/W8*100)</f>
        <v>100.28962708100127</v>
      </c>
    </row>
    <row r="12" spans="1:23" ht="13.5" thickBot="1">
      <c r="A12" s="78">
        <v>4</v>
      </c>
      <c r="B12" s="33" t="s">
        <v>3</v>
      </c>
      <c r="C12" s="37">
        <f aca="true" t="shared" si="3" ref="C12:J12">SUM(C13:C27)</f>
        <v>37316.549999999996</v>
      </c>
      <c r="D12" s="36">
        <f t="shared" si="3"/>
        <v>67246.65</v>
      </c>
      <c r="E12" s="37">
        <f t="shared" si="3"/>
        <v>60767.85</v>
      </c>
      <c r="F12" s="36">
        <f t="shared" si="3"/>
        <v>59765.990000000005</v>
      </c>
      <c r="G12" s="37">
        <f t="shared" si="3"/>
        <v>52889.68</v>
      </c>
      <c r="H12" s="36">
        <f>SUM(H13:H27)</f>
        <v>45239.549999999996</v>
      </c>
      <c r="I12" s="37">
        <f>SUM(I13:I27)</f>
        <v>45703.479999999996</v>
      </c>
      <c r="J12" s="34">
        <f t="shared" si="3"/>
        <v>3903.4700000000003</v>
      </c>
      <c r="K12" s="34">
        <f aca="true" t="shared" si="4" ref="K12:U12">SUM(K13:K27)</f>
        <v>3950.479999999999</v>
      </c>
      <c r="L12" s="34">
        <f t="shared" si="4"/>
        <v>3951.96</v>
      </c>
      <c r="M12" s="34">
        <f t="shared" si="4"/>
        <v>5580.51</v>
      </c>
      <c r="N12" s="34">
        <f t="shared" si="4"/>
        <v>3896.28</v>
      </c>
      <c r="O12" s="34">
        <f t="shared" si="4"/>
        <v>4285.150000000001</v>
      </c>
      <c r="P12" s="34">
        <f t="shared" si="4"/>
        <v>4307.72</v>
      </c>
      <c r="Q12" s="34">
        <f t="shared" si="4"/>
        <v>4352.23</v>
      </c>
      <c r="R12" s="34">
        <f t="shared" si="4"/>
        <v>4267.750000000001</v>
      </c>
      <c r="S12" s="34">
        <f t="shared" si="4"/>
        <v>4290.7</v>
      </c>
      <c r="T12" s="34">
        <f t="shared" si="4"/>
        <v>4351.24</v>
      </c>
      <c r="U12" s="36">
        <f t="shared" si="4"/>
        <v>4179.660000000001</v>
      </c>
      <c r="V12" s="37">
        <f>SUM(J12:U12)</f>
        <v>51317.15</v>
      </c>
      <c r="W12" s="102">
        <f>SUM(C12:U12)</f>
        <v>420246.8999999999</v>
      </c>
    </row>
    <row r="13" spans="1:23" ht="12.75">
      <c r="A13" s="78" t="s">
        <v>29</v>
      </c>
      <c r="B13" s="39" t="s">
        <v>5</v>
      </c>
      <c r="C13" s="40">
        <v>8510.35</v>
      </c>
      <c r="D13" s="41">
        <v>10221.43</v>
      </c>
      <c r="E13" s="40">
        <v>13376.34</v>
      </c>
      <c r="F13" s="92">
        <v>16297.85</v>
      </c>
      <c r="G13" s="40">
        <v>16613.86</v>
      </c>
      <c r="H13" s="92">
        <v>16609.67</v>
      </c>
      <c r="I13" s="40">
        <v>15558.21</v>
      </c>
      <c r="J13" s="81">
        <f>1219+15.08</f>
        <v>1234.08</v>
      </c>
      <c r="K13" s="42">
        <f>1378+79.36</f>
        <v>1457.36</v>
      </c>
      <c r="L13" s="42">
        <f>1378+46.6</f>
        <v>1424.6</v>
      </c>
      <c r="M13" s="42">
        <f>1431+152.96</f>
        <v>1583.96</v>
      </c>
      <c r="N13" s="42">
        <f>1431+76.35</f>
        <v>1507.35</v>
      </c>
      <c r="O13" s="42">
        <f>1484+48.28</f>
        <v>1532.28</v>
      </c>
      <c r="P13" s="42">
        <f>1484+76.06</f>
        <v>1560.06</v>
      </c>
      <c r="Q13" s="42">
        <f>1431+85.49</f>
        <v>1516.49</v>
      </c>
      <c r="R13" s="42">
        <f>1431+88.42</f>
        <v>1519.42</v>
      </c>
      <c r="S13" s="42">
        <f>1325+85.58</f>
        <v>1410.58</v>
      </c>
      <c r="T13" s="42">
        <f>1325+74.79</f>
        <v>1399.79</v>
      </c>
      <c r="U13" s="43">
        <f>1325+74.93</f>
        <v>1399.93</v>
      </c>
      <c r="V13" s="28">
        <f aca="true" t="shared" si="5" ref="V13:V29">SUM(J13:U13)</f>
        <v>17545.899999999998</v>
      </c>
      <c r="W13" s="103">
        <f>SUM(C13:U13)</f>
        <v>114733.61</v>
      </c>
    </row>
    <row r="14" spans="1:23" ht="14.25" customHeight="1">
      <c r="A14" s="78" t="s">
        <v>30</v>
      </c>
      <c r="B14" s="44" t="s">
        <v>63</v>
      </c>
      <c r="C14" s="45">
        <v>10288.85</v>
      </c>
      <c r="D14" s="46">
        <v>6411.63</v>
      </c>
      <c r="E14" s="45">
        <v>2587.96</v>
      </c>
      <c r="F14" s="93">
        <v>4263.29</v>
      </c>
      <c r="G14" s="45">
        <v>1200.25</v>
      </c>
      <c r="H14" s="93">
        <v>3640</v>
      </c>
      <c r="I14" s="45">
        <v>40.23</v>
      </c>
      <c r="J14" s="80"/>
      <c r="K14" s="21"/>
      <c r="L14" s="21"/>
      <c r="M14" s="21">
        <v>1679.5</v>
      </c>
      <c r="N14" s="21"/>
      <c r="O14" s="21"/>
      <c r="P14" s="21"/>
      <c r="Q14" s="21"/>
      <c r="R14" s="21"/>
      <c r="S14" s="21"/>
      <c r="T14" s="21"/>
      <c r="U14" s="27"/>
      <c r="V14" s="28">
        <f t="shared" si="5"/>
        <v>1679.5</v>
      </c>
      <c r="W14" s="104">
        <f aca="true" t="shared" si="6" ref="W14:W26">SUM(C14:U14)</f>
        <v>30111.71</v>
      </c>
    </row>
    <row r="15" spans="1:23" ht="12" customHeight="1">
      <c r="A15" s="78" t="s">
        <v>31</v>
      </c>
      <c r="B15" s="29" t="s">
        <v>6</v>
      </c>
      <c r="C15" s="45">
        <v>1180.09</v>
      </c>
      <c r="D15" s="46">
        <v>0</v>
      </c>
      <c r="E15" s="45">
        <v>0</v>
      </c>
      <c r="F15" s="93">
        <v>0</v>
      </c>
      <c r="G15" s="45"/>
      <c r="H15" s="93">
        <v>0</v>
      </c>
      <c r="I15" s="45">
        <v>4371.8</v>
      </c>
      <c r="J15" s="80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7"/>
      <c r="V15" s="28">
        <f t="shared" si="5"/>
        <v>0</v>
      </c>
      <c r="W15" s="104">
        <f>SUM(C15:U15)</f>
        <v>5551.89</v>
      </c>
    </row>
    <row r="16" spans="1:23" ht="24" customHeight="1">
      <c r="A16" s="78" t="s">
        <v>32</v>
      </c>
      <c r="B16" s="29" t="s">
        <v>46</v>
      </c>
      <c r="C16" s="45">
        <v>0</v>
      </c>
      <c r="D16" s="46">
        <v>562.23</v>
      </c>
      <c r="E16" s="45">
        <v>0</v>
      </c>
      <c r="F16" s="93">
        <v>0</v>
      </c>
      <c r="G16" s="45"/>
      <c r="H16" s="93">
        <v>200</v>
      </c>
      <c r="I16" s="45">
        <v>0</v>
      </c>
      <c r="J16" s="80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7"/>
      <c r="V16" s="28">
        <f t="shared" si="5"/>
        <v>0</v>
      </c>
      <c r="W16" s="104">
        <f>SUM(C16:U16)</f>
        <v>762.23</v>
      </c>
    </row>
    <row r="17" spans="1:23" ht="21" customHeight="1">
      <c r="A17" s="78" t="s">
        <v>33</v>
      </c>
      <c r="B17" s="29" t="s">
        <v>48</v>
      </c>
      <c r="C17" s="45"/>
      <c r="D17" s="46">
        <v>0</v>
      </c>
      <c r="E17" s="45">
        <v>256</v>
      </c>
      <c r="F17" s="93">
        <v>0</v>
      </c>
      <c r="G17" s="45">
        <v>13.09</v>
      </c>
      <c r="H17" s="93">
        <v>52.96</v>
      </c>
      <c r="I17" s="45">
        <v>51</v>
      </c>
      <c r="J17" s="80">
        <v>268.15</v>
      </c>
      <c r="K17" s="21">
        <v>94.94</v>
      </c>
      <c r="L17" s="21"/>
      <c r="M17" s="21"/>
      <c r="N17" s="21"/>
      <c r="O17" s="21"/>
      <c r="P17" s="21"/>
      <c r="Q17" s="21"/>
      <c r="R17" s="21"/>
      <c r="S17" s="21"/>
      <c r="T17" s="21"/>
      <c r="U17" s="27">
        <v>34.84</v>
      </c>
      <c r="V17" s="28">
        <f>SUM(J17:U17)</f>
        <v>397.92999999999995</v>
      </c>
      <c r="W17" s="104">
        <f>SUM(C17:U17)</f>
        <v>770.9799999999999</v>
      </c>
    </row>
    <row r="18" spans="1:23" ht="12" customHeight="1">
      <c r="A18" s="78" t="s">
        <v>34</v>
      </c>
      <c r="B18" s="44" t="s">
        <v>56</v>
      </c>
      <c r="C18" s="45">
        <v>165.48</v>
      </c>
      <c r="D18" s="46">
        <v>18631.54</v>
      </c>
      <c r="E18" s="45">
        <v>11079.69</v>
      </c>
      <c r="F18" s="93">
        <v>2203.55</v>
      </c>
      <c r="G18" s="45">
        <v>3129.69</v>
      </c>
      <c r="H18" s="93">
        <v>-2439.78</v>
      </c>
      <c r="I18" s="45">
        <v>798.17</v>
      </c>
      <c r="J18" s="80"/>
      <c r="K18" s="21"/>
      <c r="L18" s="21"/>
      <c r="M18" s="21"/>
      <c r="N18" s="21"/>
      <c r="O18" s="21"/>
      <c r="P18" s="21"/>
      <c r="Q18" s="21">
        <v>95</v>
      </c>
      <c r="R18" s="21"/>
      <c r="S18" s="21"/>
      <c r="T18" s="21"/>
      <c r="U18" s="27"/>
      <c r="V18" s="28">
        <f t="shared" si="5"/>
        <v>95</v>
      </c>
      <c r="W18" s="104">
        <f t="shared" si="6"/>
        <v>33663.34</v>
      </c>
    </row>
    <row r="19" spans="1:23" ht="12" customHeight="1">
      <c r="A19" s="78" t="s">
        <v>35</v>
      </c>
      <c r="B19" s="44" t="s">
        <v>69</v>
      </c>
      <c r="C19" s="45">
        <v>3468.31</v>
      </c>
      <c r="D19" s="46">
        <v>4390.4</v>
      </c>
      <c r="E19" s="45">
        <v>2486.29</v>
      </c>
      <c r="F19" s="93">
        <v>0</v>
      </c>
      <c r="G19" s="45"/>
      <c r="H19" s="93">
        <v>0</v>
      </c>
      <c r="I19" s="45">
        <v>0</v>
      </c>
      <c r="J19" s="80">
        <v>373.41</v>
      </c>
      <c r="K19" s="21">
        <v>373.42</v>
      </c>
      <c r="L19" s="21">
        <v>373.42</v>
      </c>
      <c r="M19" s="21">
        <v>373.42</v>
      </c>
      <c r="N19" s="21">
        <v>373.45</v>
      </c>
      <c r="O19" s="21">
        <v>598.66</v>
      </c>
      <c r="P19" s="21">
        <v>627.96</v>
      </c>
      <c r="Q19" s="21">
        <v>627.96</v>
      </c>
      <c r="R19" s="21">
        <v>627.96</v>
      </c>
      <c r="S19" s="21">
        <v>627.96</v>
      </c>
      <c r="T19" s="21">
        <v>627.96</v>
      </c>
      <c r="U19" s="27">
        <v>627.96</v>
      </c>
      <c r="V19" s="28">
        <f t="shared" si="5"/>
        <v>6233.54</v>
      </c>
      <c r="W19" s="104">
        <f t="shared" si="6"/>
        <v>16578.539999999997</v>
      </c>
    </row>
    <row r="20" spans="1:23" ht="12" customHeight="1">
      <c r="A20" s="78"/>
      <c r="B20" s="44" t="s">
        <v>70</v>
      </c>
      <c r="C20" s="45"/>
      <c r="D20" s="46"/>
      <c r="E20" s="45"/>
      <c r="F20" s="93"/>
      <c r="G20" s="45"/>
      <c r="H20" s="93"/>
      <c r="I20" s="45"/>
      <c r="J20" s="80"/>
      <c r="K20" s="21"/>
      <c r="L20" s="21"/>
      <c r="M20" s="21"/>
      <c r="N20" s="21">
        <v>76.48</v>
      </c>
      <c r="O20" s="21">
        <v>56.17</v>
      </c>
      <c r="P20" s="21">
        <v>37.4</v>
      </c>
      <c r="Q20" s="21">
        <v>37.4</v>
      </c>
      <c r="R20" s="21">
        <v>37.4</v>
      </c>
      <c r="S20" s="21">
        <v>37.4</v>
      </c>
      <c r="T20" s="21">
        <v>37.4</v>
      </c>
      <c r="U20" s="27">
        <v>37.4</v>
      </c>
      <c r="V20" s="28">
        <f>SUM(J20:U20)</f>
        <v>357.04999999999995</v>
      </c>
      <c r="W20" s="104">
        <f>SUM(C20:U20)</f>
        <v>357.04999999999995</v>
      </c>
    </row>
    <row r="21" spans="1:23" ht="12" customHeight="1">
      <c r="A21" s="78"/>
      <c r="B21" s="44" t="s">
        <v>71</v>
      </c>
      <c r="C21" s="45"/>
      <c r="D21" s="46"/>
      <c r="E21" s="45"/>
      <c r="F21" s="93"/>
      <c r="G21" s="45"/>
      <c r="H21" s="93"/>
      <c r="I21" s="45"/>
      <c r="J21" s="80"/>
      <c r="K21" s="21"/>
      <c r="L21" s="21"/>
      <c r="M21" s="21"/>
      <c r="N21" s="21"/>
      <c r="O21" s="21">
        <v>32.25</v>
      </c>
      <c r="P21" s="21">
        <v>33.03</v>
      </c>
      <c r="Q21" s="21">
        <v>33.03</v>
      </c>
      <c r="R21" s="21">
        <v>33.03</v>
      </c>
      <c r="S21" s="21">
        <v>33.03</v>
      </c>
      <c r="T21" s="21">
        <v>33.03</v>
      </c>
      <c r="U21" s="27">
        <v>33.03</v>
      </c>
      <c r="V21" s="28">
        <f>SUM(J21:U21)</f>
        <v>230.43</v>
      </c>
      <c r="W21" s="104">
        <f>SUM(C21:U21)</f>
        <v>230.43</v>
      </c>
    </row>
    <row r="22" spans="1:23" ht="11.25" customHeight="1">
      <c r="A22" s="78" t="s">
        <v>36</v>
      </c>
      <c r="B22" s="44" t="s">
        <v>7</v>
      </c>
      <c r="C22" s="45">
        <v>492.15</v>
      </c>
      <c r="D22" s="46">
        <v>310.72</v>
      </c>
      <c r="E22" s="45">
        <v>352.32</v>
      </c>
      <c r="F22" s="93">
        <v>244.83</v>
      </c>
      <c r="G22" s="45"/>
      <c r="H22" s="93">
        <v>0</v>
      </c>
      <c r="I22" s="45">
        <v>0</v>
      </c>
      <c r="J22" s="80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7"/>
      <c r="V22" s="28">
        <f t="shared" si="5"/>
        <v>0</v>
      </c>
      <c r="W22" s="104">
        <f t="shared" si="6"/>
        <v>1400.02</v>
      </c>
    </row>
    <row r="23" spans="1:23" ht="32.25" customHeight="1">
      <c r="A23" s="78" t="s">
        <v>37</v>
      </c>
      <c r="B23" s="44" t="s">
        <v>60</v>
      </c>
      <c r="C23" s="45">
        <v>611.1</v>
      </c>
      <c r="D23" s="46">
        <v>2183.98</v>
      </c>
      <c r="E23" s="45">
        <v>2912.53</v>
      </c>
      <c r="F23" s="93">
        <v>2692.94</v>
      </c>
      <c r="G23" s="45">
        <v>1854.48</v>
      </c>
      <c r="H23" s="93">
        <v>2187.2</v>
      </c>
      <c r="I23" s="45">
        <v>2312.9</v>
      </c>
      <c r="J23" s="80">
        <v>195.83</v>
      </c>
      <c r="K23" s="21">
        <v>182.74</v>
      </c>
      <c r="L23" s="21">
        <v>227.48</v>
      </c>
      <c r="M23" s="21">
        <v>169.06</v>
      </c>
      <c r="N23" s="21">
        <v>180.64</v>
      </c>
      <c r="O23" s="21">
        <v>203.14</v>
      </c>
      <c r="P23" s="21">
        <f>164.64</f>
        <v>164.64</v>
      </c>
      <c r="Q23" s="21">
        <v>190.43</v>
      </c>
      <c r="R23" s="21">
        <v>179.12</v>
      </c>
      <c r="S23" s="21">
        <v>228.53</v>
      </c>
      <c r="T23" s="21">
        <v>236.39</v>
      </c>
      <c r="U23" s="27">
        <v>195.35</v>
      </c>
      <c r="V23" s="28">
        <f t="shared" si="5"/>
        <v>2353.3500000000004</v>
      </c>
      <c r="W23" s="104">
        <f t="shared" si="6"/>
        <v>17108.479999999992</v>
      </c>
    </row>
    <row r="24" spans="1:23" ht="22.5" customHeight="1">
      <c r="A24" s="78" t="s">
        <v>38</v>
      </c>
      <c r="B24" s="44" t="s">
        <v>61</v>
      </c>
      <c r="C24" s="45">
        <v>1080.28</v>
      </c>
      <c r="D24" s="46">
        <v>1187.88</v>
      </c>
      <c r="E24" s="45">
        <v>358.4</v>
      </c>
      <c r="F24" s="93">
        <v>255.31</v>
      </c>
      <c r="G24" s="45">
        <v>557.87</v>
      </c>
      <c r="H24" s="93">
        <v>376.94</v>
      </c>
      <c r="I24" s="45">
        <v>329.05</v>
      </c>
      <c r="J24" s="80">
        <v>43.03</v>
      </c>
      <c r="K24" s="21">
        <v>13.22</v>
      </c>
      <c r="L24" s="21">
        <v>14.2</v>
      </c>
      <c r="M24" s="21">
        <v>13.14</v>
      </c>
      <c r="N24" s="21">
        <v>12.79</v>
      </c>
      <c r="O24" s="21">
        <v>19.89</v>
      </c>
      <c r="P24" s="21">
        <v>18.68</v>
      </c>
      <c r="Q24" s="21">
        <v>57.51</v>
      </c>
      <c r="R24" s="21">
        <v>13.42</v>
      </c>
      <c r="S24" s="21">
        <v>19.85</v>
      </c>
      <c r="T24" s="21">
        <v>13.42</v>
      </c>
      <c r="U24" s="27">
        <v>18.3</v>
      </c>
      <c r="V24" s="28">
        <f t="shared" si="5"/>
        <v>257.44999999999993</v>
      </c>
      <c r="W24" s="104">
        <f t="shared" si="6"/>
        <v>4403.180000000001</v>
      </c>
    </row>
    <row r="25" spans="1:23" ht="33" customHeight="1">
      <c r="A25" s="78" t="s">
        <v>39</v>
      </c>
      <c r="B25" s="44" t="s">
        <v>62</v>
      </c>
      <c r="C25" s="45">
        <v>327.72</v>
      </c>
      <c r="D25" s="46">
        <v>1934.46</v>
      </c>
      <c r="E25" s="45">
        <v>1862.99</v>
      </c>
      <c r="F25" s="93">
        <v>2504.88</v>
      </c>
      <c r="G25" s="45">
        <v>3217.53</v>
      </c>
      <c r="H25" s="93">
        <v>2850.23</v>
      </c>
      <c r="I25" s="45">
        <v>2406.77</v>
      </c>
      <c r="J25" s="80">
        <f>8.63+60.12+98.41</f>
        <v>167.16</v>
      </c>
      <c r="K25" s="21">
        <f>8.58+71.1+60.23</f>
        <v>139.91</v>
      </c>
      <c r="L25" s="21">
        <f>8.46+79.13+105.92</f>
        <v>193.51</v>
      </c>
      <c r="M25" s="21">
        <f>7.98+72.52+101.95</f>
        <v>182.45</v>
      </c>
      <c r="N25" s="21">
        <f>8.23+88.24+250.23-200</f>
        <v>146.7</v>
      </c>
      <c r="O25" s="21">
        <f>121.58+9.66+87.12</f>
        <v>218.36</v>
      </c>
      <c r="P25" s="21">
        <f>10.57+63.06+113.54</f>
        <v>187.17000000000002</v>
      </c>
      <c r="Q25" s="21">
        <f>11.45+58.68+135.32</f>
        <v>205.45</v>
      </c>
      <c r="R25" s="21">
        <f>116.18+9.21+74.42</f>
        <v>199.81</v>
      </c>
      <c r="S25" s="21">
        <f>11.83+84.1+122.69</f>
        <v>218.62</v>
      </c>
      <c r="T25" s="21">
        <f>10.86+98.01+193.67</f>
        <v>302.53999999999996</v>
      </c>
      <c r="U25" s="27">
        <f>11.19+98.75+82.17</f>
        <v>192.11</v>
      </c>
      <c r="V25" s="28">
        <f t="shared" si="5"/>
        <v>2353.7900000000004</v>
      </c>
      <c r="W25" s="104">
        <f>SUM(C25:U25)</f>
        <v>17458.370000000003</v>
      </c>
    </row>
    <row r="26" spans="1:23" ht="15.75" customHeight="1">
      <c r="A26" s="78" t="s">
        <v>49</v>
      </c>
      <c r="B26" s="44" t="s">
        <v>11</v>
      </c>
      <c r="C26" s="45">
        <v>9747.34</v>
      </c>
      <c r="D26" s="46">
        <v>18460.23</v>
      </c>
      <c r="E26" s="45">
        <v>23401.5</v>
      </c>
      <c r="F26" s="93">
        <v>29403.56</v>
      </c>
      <c r="G26" s="45">
        <v>24393.84</v>
      </c>
      <c r="H26" s="93">
        <v>19827.59</v>
      </c>
      <c r="I26" s="45">
        <v>17913.42</v>
      </c>
      <c r="J26" s="80">
        <f>4203.47-2413.17-300</f>
        <v>1490.3000000000002</v>
      </c>
      <c r="K26" s="21">
        <f>4250.48-2429.31-300</f>
        <v>1521.1699999999996</v>
      </c>
      <c r="L26" s="21">
        <f>3951.96-2457.14</f>
        <v>1494.8200000000002</v>
      </c>
      <c r="M26" s="21">
        <f>5880.51-4162.92-300</f>
        <v>1417.5900000000001</v>
      </c>
      <c r="N26" s="21">
        <f>3896.28-2658.56+200</f>
        <v>1437.7200000000003</v>
      </c>
      <c r="O26" s="21">
        <f>4585.15-2849.89-300</f>
        <v>1435.2599999999998</v>
      </c>
      <c r="P26" s="21">
        <f>4307.72-2802.41</f>
        <v>1505.3100000000004</v>
      </c>
      <c r="Q26" s="21">
        <f>4252.23-2962.57+100</f>
        <v>1389.6599999999994</v>
      </c>
      <c r="R26" s="21">
        <f>4099.89-2829.25+200</f>
        <v>1470.6400000000003</v>
      </c>
      <c r="S26" s="21">
        <f>3990.7-2762.92+300</f>
        <v>1527.7799999999997</v>
      </c>
      <c r="T26" s="21">
        <f>4051.24-2822.86+300</f>
        <v>1528.3799999999997</v>
      </c>
      <c r="U26" s="27">
        <f>3879.66-2711.25+300</f>
        <v>1468.4099999999999</v>
      </c>
      <c r="V26" s="28">
        <f t="shared" si="5"/>
        <v>17687.04</v>
      </c>
      <c r="W26" s="104">
        <f t="shared" si="6"/>
        <v>160834.52000000002</v>
      </c>
    </row>
    <row r="27" spans="1:23" ht="13.5" customHeight="1" thickBot="1">
      <c r="A27" s="78" t="s">
        <v>50</v>
      </c>
      <c r="B27" s="47" t="s">
        <v>4</v>
      </c>
      <c r="C27" s="48">
        <v>1444.88</v>
      </c>
      <c r="D27" s="49">
        <v>2952.15</v>
      </c>
      <c r="E27" s="48">
        <v>2093.83</v>
      </c>
      <c r="F27" s="94">
        <v>1899.78</v>
      </c>
      <c r="G27" s="48">
        <v>1909.07</v>
      </c>
      <c r="H27" s="94">
        <v>1934.74</v>
      </c>
      <c r="I27" s="48">
        <v>1921.93</v>
      </c>
      <c r="J27" s="82">
        <v>131.51</v>
      </c>
      <c r="K27" s="21">
        <f>13.19+154.53</f>
        <v>167.72</v>
      </c>
      <c r="L27" s="50">
        <f>17.22+206.71</f>
        <v>223.93</v>
      </c>
      <c r="M27" s="50">
        <f>13.92+147.47</f>
        <v>161.39</v>
      </c>
      <c r="N27" s="50">
        <f>13.66+147.49</f>
        <v>161.15</v>
      </c>
      <c r="O27" s="50">
        <f>15.99+173.15</f>
        <v>189.14000000000001</v>
      </c>
      <c r="P27" s="50">
        <f>23.55+149.92</f>
        <v>173.47</v>
      </c>
      <c r="Q27" s="50">
        <f>28.05+171.25</f>
        <v>199.3</v>
      </c>
      <c r="R27" s="50">
        <f>26.37+160.58</f>
        <v>186.95000000000002</v>
      </c>
      <c r="S27" s="50">
        <f>26.37+160.58</f>
        <v>186.95000000000002</v>
      </c>
      <c r="T27" s="50">
        <f>24.31+148.02</f>
        <v>172.33</v>
      </c>
      <c r="U27" s="51">
        <f>24.31+148.02</f>
        <v>172.33</v>
      </c>
      <c r="V27" s="109">
        <f t="shared" si="5"/>
        <v>2126.17</v>
      </c>
      <c r="W27" s="105">
        <f>SUM(C27:U27)</f>
        <v>16282.55</v>
      </c>
    </row>
    <row r="28" spans="1:23" ht="13.5" customHeight="1" thickBot="1">
      <c r="A28" s="78"/>
      <c r="B28" s="55" t="s">
        <v>57</v>
      </c>
      <c r="C28" s="53"/>
      <c r="D28" s="54"/>
      <c r="E28" s="53"/>
      <c r="F28" s="95"/>
      <c r="G28" s="86">
        <f>G8*5%</f>
        <v>2544.9120000000003</v>
      </c>
      <c r="H28" s="106">
        <f>H8*5%</f>
        <v>2544.9120000000003</v>
      </c>
      <c r="I28" s="89">
        <f>I8*5%</f>
        <v>2544.9120000000003</v>
      </c>
      <c r="J28" s="87">
        <f>J8*5%</f>
        <v>212.07600000000002</v>
      </c>
      <c r="K28" s="89">
        <f aca="true" t="shared" si="7" ref="K28:U28">K8*5%</f>
        <v>211.65700000000004</v>
      </c>
      <c r="L28" s="87">
        <f t="shared" si="7"/>
        <v>211.937</v>
      </c>
      <c r="M28" s="89">
        <f t="shared" si="7"/>
        <v>211.937</v>
      </c>
      <c r="N28" s="87">
        <f t="shared" si="7"/>
        <v>212.63600000000002</v>
      </c>
      <c r="O28" s="89">
        <f t="shared" si="7"/>
        <v>212.63600000000002</v>
      </c>
      <c r="P28" s="87">
        <f t="shared" si="7"/>
        <v>212.63600000000002</v>
      </c>
      <c r="Q28" s="89">
        <f t="shared" si="7"/>
        <v>212.63600000000002</v>
      </c>
      <c r="R28" s="87">
        <f t="shared" si="7"/>
        <v>212.63600000000002</v>
      </c>
      <c r="S28" s="89">
        <f t="shared" si="7"/>
        <v>212.63600000000002</v>
      </c>
      <c r="T28" s="87">
        <f t="shared" si="7"/>
        <v>212.63600000000002</v>
      </c>
      <c r="U28" s="89">
        <f t="shared" si="7"/>
        <v>212.63600000000002</v>
      </c>
      <c r="V28" s="89">
        <f t="shared" si="5"/>
        <v>2548.695</v>
      </c>
      <c r="W28" s="105"/>
    </row>
    <row r="29" spans="1:23" ht="16.5" customHeight="1" thickBot="1">
      <c r="A29" s="113" t="s">
        <v>51</v>
      </c>
      <c r="B29" s="52" t="s">
        <v>47</v>
      </c>
      <c r="C29" s="114"/>
      <c r="D29" s="115"/>
      <c r="E29" s="114"/>
      <c r="F29" s="116"/>
      <c r="G29" s="114"/>
      <c r="H29" s="116"/>
      <c r="I29" s="114"/>
      <c r="J29" s="117">
        <f>SUM(J8+J9-J12)-J28</f>
        <v>517.2139999999999</v>
      </c>
      <c r="K29" s="118">
        <f>SUM(K8+K9-K12)-K28</f>
        <v>462.2730000000016</v>
      </c>
      <c r="L29" s="117">
        <f>SUM(L8+L9-L12)-L28</f>
        <v>466.1229999999995</v>
      </c>
      <c r="M29" s="118">
        <f aca="true" t="shared" si="8" ref="M29:U29">SUM(M8+M9-M12)-M28</f>
        <v>-1161.1770000000006</v>
      </c>
      <c r="N29" s="117">
        <f t="shared" si="8"/>
        <v>536.3940000000002</v>
      </c>
      <c r="O29" s="118">
        <f t="shared" si="8"/>
        <v>422.91400000000016</v>
      </c>
      <c r="P29" s="117">
        <f t="shared" si="8"/>
        <v>430.7540000000003</v>
      </c>
      <c r="Q29" s="118">
        <f t="shared" si="8"/>
        <v>386.244000000001</v>
      </c>
      <c r="R29" s="117">
        <f t="shared" si="8"/>
        <v>470.72399999999965</v>
      </c>
      <c r="S29" s="118">
        <f t="shared" si="8"/>
        <v>447.77400000000074</v>
      </c>
      <c r="T29" s="117">
        <f t="shared" si="8"/>
        <v>387.2340000000008</v>
      </c>
      <c r="U29" s="118">
        <f t="shared" si="8"/>
        <v>558.8139999999999</v>
      </c>
      <c r="V29" s="119">
        <f t="shared" si="5"/>
        <v>3925.2850000000035</v>
      </c>
      <c r="W29" s="76"/>
    </row>
    <row r="30" spans="1:23" ht="25.5" customHeight="1" thickBot="1">
      <c r="A30" s="121">
        <v>6</v>
      </c>
      <c r="B30" s="58" t="s">
        <v>25</v>
      </c>
      <c r="C30" s="55">
        <v>3649.75</v>
      </c>
      <c r="D30" s="56">
        <f>SUM(D8-D12)</f>
        <v>-17884.48999999999</v>
      </c>
      <c r="E30" s="37">
        <f>SUM(E8-E12)</f>
        <v>-10210.86</v>
      </c>
      <c r="F30" s="96">
        <f>SUM(F8-F12)</f>
        <v>-9098.050000000003</v>
      </c>
      <c r="G30" s="89">
        <f>SUM(G8-G12)-G28</f>
        <v>-4536.352000000003</v>
      </c>
      <c r="H30" s="107">
        <f>SUM(H8-H12)-H28</f>
        <v>3113.778000000002</v>
      </c>
      <c r="I30" s="89">
        <f>SUM(I8-I12)-I28</f>
        <v>2649.848000000002</v>
      </c>
      <c r="J30" s="88">
        <f>SUM(J8+J9-J12)-J28</f>
        <v>517.2139999999999</v>
      </c>
      <c r="K30" s="89">
        <f>SUM(K29+J30)</f>
        <v>979.4870000000016</v>
      </c>
      <c r="L30" s="88">
        <f aca="true" t="shared" si="9" ref="L30:U30">SUM(L29+K30)</f>
        <v>1445.610000000001</v>
      </c>
      <c r="M30" s="89">
        <f t="shared" si="9"/>
        <v>284.43300000000045</v>
      </c>
      <c r="N30" s="88">
        <f t="shared" si="9"/>
        <v>820.8270000000007</v>
      </c>
      <c r="O30" s="89">
        <f t="shared" si="9"/>
        <v>1243.741000000001</v>
      </c>
      <c r="P30" s="88">
        <f t="shared" si="9"/>
        <v>1674.4950000000013</v>
      </c>
      <c r="Q30" s="89">
        <f t="shared" si="9"/>
        <v>2060.7390000000023</v>
      </c>
      <c r="R30" s="88">
        <f t="shared" si="9"/>
        <v>2531.463000000002</v>
      </c>
      <c r="S30" s="89">
        <f t="shared" si="9"/>
        <v>2979.237000000003</v>
      </c>
      <c r="T30" s="88">
        <f t="shared" si="9"/>
        <v>3366.4710000000036</v>
      </c>
      <c r="U30" s="89">
        <f t="shared" si="9"/>
        <v>3925.2850000000035</v>
      </c>
      <c r="V30" s="37"/>
      <c r="W30" s="57"/>
    </row>
    <row r="31" spans="1:23" ht="23.25" customHeight="1" hidden="1" thickBot="1">
      <c r="A31" s="120">
        <v>7</v>
      </c>
      <c r="B31" s="62" t="s">
        <v>26</v>
      </c>
      <c r="C31" s="59">
        <v>3649.75</v>
      </c>
      <c r="D31" s="79">
        <f>SUM(D8-D12,C31)</f>
        <v>-14234.73999999999</v>
      </c>
      <c r="E31" s="67">
        <f>SUM(E8-E12,D31)</f>
        <v>-24445.59999999999</v>
      </c>
      <c r="F31" s="97">
        <f>SUM(F8-F12,E31)</f>
        <v>-33543.649999999994</v>
      </c>
      <c r="G31" s="86">
        <f>SUM(G30+F31)</f>
        <v>-38080.00199999999</v>
      </c>
      <c r="H31" s="106">
        <f>SUM(H30+G31)-0.05</f>
        <v>-34966.27399999999</v>
      </c>
      <c r="I31" s="86">
        <f>SUM(I30+H31)-0.05</f>
        <v>-32316.475999999988</v>
      </c>
      <c r="J31" s="86">
        <f>SUM(J30+I31)-0.05</f>
        <v>-31799.311999999987</v>
      </c>
      <c r="K31" s="98">
        <f>SUM(K29+J31)</f>
        <v>-31337.038999999986</v>
      </c>
      <c r="L31" s="98">
        <f aca="true" t="shared" si="10" ref="L31:T31">SUM(L29+K31)</f>
        <v>-30870.915999999987</v>
      </c>
      <c r="M31" s="98">
        <f>SUM(M29+L31)</f>
        <v>-32032.092999999986</v>
      </c>
      <c r="N31" s="98">
        <f t="shared" si="10"/>
        <v>-31495.698999999986</v>
      </c>
      <c r="O31" s="98">
        <f t="shared" si="10"/>
        <v>-31072.784999999985</v>
      </c>
      <c r="P31" s="98">
        <f t="shared" si="10"/>
        <v>-30642.030999999984</v>
      </c>
      <c r="Q31" s="98">
        <f t="shared" si="10"/>
        <v>-30255.786999999982</v>
      </c>
      <c r="R31" s="98">
        <f t="shared" si="10"/>
        <v>-29785.062999999984</v>
      </c>
      <c r="S31" s="98">
        <f t="shared" si="10"/>
        <v>-29337.288999999982</v>
      </c>
      <c r="T31" s="98">
        <f t="shared" si="10"/>
        <v>-28950.054999999982</v>
      </c>
      <c r="U31" s="98">
        <f>SUM(U29+T31)-0.01</f>
        <v>-28391.250999999982</v>
      </c>
      <c r="V31" s="67"/>
      <c r="W31" s="38"/>
    </row>
    <row r="32" spans="1:23" ht="23.25" hidden="1" thickBot="1">
      <c r="A32" s="9">
        <v>8</v>
      </c>
      <c r="B32" s="58" t="s">
        <v>9</v>
      </c>
      <c r="C32" s="55"/>
      <c r="D32" s="60"/>
      <c r="E32" s="60"/>
      <c r="F32" s="60"/>
      <c r="G32" s="60"/>
      <c r="H32" s="60"/>
      <c r="I32" s="60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56"/>
      <c r="V32" s="37"/>
      <c r="W32" s="61"/>
    </row>
    <row r="33" spans="1:23" ht="15" customHeight="1" hidden="1" thickBot="1">
      <c r="A33" s="10">
        <v>9</v>
      </c>
      <c r="B33" s="62" t="s">
        <v>44</v>
      </c>
      <c r="C33" s="63"/>
      <c r="D33" s="64"/>
      <c r="E33" s="64"/>
      <c r="F33" s="64"/>
      <c r="G33" s="64"/>
      <c r="H33" s="64"/>
      <c r="I33" s="64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6"/>
      <c r="V33" s="67"/>
      <c r="W33" s="57"/>
    </row>
    <row r="34" spans="1:23" ht="0.75" customHeight="1" hidden="1" thickBot="1">
      <c r="A34" s="10" t="s">
        <v>43</v>
      </c>
      <c r="B34" s="68" t="s">
        <v>42</v>
      </c>
      <c r="C34" s="69"/>
      <c r="D34" s="70"/>
      <c r="E34" s="70"/>
      <c r="F34" s="70"/>
      <c r="G34" s="70"/>
      <c r="H34" s="70"/>
      <c r="I34" s="70"/>
      <c r="J34" s="71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3">
        <f>SUM(U30-U32)</f>
        <v>3925.2850000000035</v>
      </c>
      <c r="V34" s="74"/>
      <c r="W34" s="75"/>
    </row>
    <row r="35" spans="1:23" ht="24" customHeight="1" hidden="1" thickBot="1">
      <c r="A35" s="18">
        <v>11</v>
      </c>
      <c r="B35" s="68" t="s">
        <v>27</v>
      </c>
      <c r="C35" s="69"/>
      <c r="D35" s="70"/>
      <c r="E35" s="70"/>
      <c r="F35" s="70"/>
      <c r="G35" s="70"/>
      <c r="H35" s="70"/>
      <c r="I35" s="70"/>
      <c r="J35" s="77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3">
        <f>SUM(U31-U32)</f>
        <v>-28391.250999999982</v>
      </c>
      <c r="V35" s="74"/>
      <c r="W35" s="75"/>
    </row>
    <row r="36" spans="2:23" ht="0.75" customHeight="1" hidden="1">
      <c r="B36" s="5"/>
      <c r="C36" s="5"/>
      <c r="D36" s="5"/>
      <c r="E36" s="5"/>
      <c r="F36" s="5"/>
      <c r="G36" s="5"/>
      <c r="H36" s="5"/>
      <c r="I36" s="5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7"/>
    </row>
    <row r="37" ht="12.75" hidden="1"/>
    <row r="38" ht="0.75" customHeight="1" hidden="1"/>
    <row r="39" ht="12.75" hidden="1"/>
    <row r="40" ht="12.75" hidden="1"/>
    <row r="41" ht="12" customHeight="1">
      <c r="B41" t="s">
        <v>64</v>
      </c>
    </row>
    <row r="45" ht="12.75" customHeight="1"/>
    <row r="46" ht="12.75" customHeight="1"/>
  </sheetData>
  <sheetProtection/>
  <mergeCells count="5">
    <mergeCell ref="B4:W4"/>
    <mergeCell ref="B5:W5"/>
    <mergeCell ref="B3:W3"/>
    <mergeCell ref="B1:L1"/>
    <mergeCell ref="B2:R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2018-02-02T07:57:31Z</cp:lastPrinted>
  <dcterms:created xsi:type="dcterms:W3CDTF">2011-06-16T11:06:26Z</dcterms:created>
  <dcterms:modified xsi:type="dcterms:W3CDTF">2018-02-12T06:16:35Z</dcterms:modified>
  <cp:category/>
  <cp:version/>
  <cp:contentType/>
  <cp:contentStatus/>
</cp:coreProperties>
</file>