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<sst xmlns="http://schemas.openxmlformats.org/spreadsheetml/2006/main" count="82" uniqueCount="82">
  <si>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СПРАВКА</t>
  </si>
  <si>
    <t xml:space="preserve">Начислено  </t>
  </si>
  <si>
    <t>Оплачено</t>
  </si>
  <si>
    <t>Расходы</t>
  </si>
  <si>
    <t>Услуги РИРЦ</t>
  </si>
  <si>
    <t>Вывоз ТБО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</si>
  <si>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</si>
  <si>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</si>
  <si>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</si>
  <si>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</si>
  <si>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</si>
  <si>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</si>
  <si>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</si>
  <si>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</si>
  <si>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</si>
  <si>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</si>
  <si>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</si>
  <si>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</si>
  <si>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</si>
  <si>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</si>
  <si>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</si>
  <si>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</si>
  <si>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</si>
  <si>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</si>
  <si>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</si>
  <si>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</si>
  <si>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Финансовый результат по дому с начала деятельности</t>
  </si>
  <si>
    <t>№</t>
  </si>
  <si>
    <t>1</t>
  </si>
  <si>
    <t>2</t>
  </si>
  <si>
    <t>3</t>
  </si>
  <si>
    <t>4</t>
  </si>
  <si>
    <t>4.1</t>
  </si>
  <si>
    <t>5</t>
  </si>
  <si>
    <t>6</t>
  </si>
  <si>
    <t>7</t>
  </si>
  <si>
    <t>8</t>
  </si>
  <si>
    <t>9</t>
  </si>
  <si>
    <t>4.2</t>
  </si>
  <si>
    <t>4.4</t>
  </si>
  <si>
    <t>4.5</t>
  </si>
  <si>
    <t>4.6</t>
  </si>
  <si>
    <t>4.7</t>
  </si>
  <si>
    <t>4.8</t>
  </si>
  <si>
    <t>4.9</t>
  </si>
  <si>
    <t>4.10</t>
  </si>
  <si>
    <t>4.11</t>
  </si>
  <si>
    <t>по жилому дому г. Унеча пер.Крупской д.3</t>
  </si>
  <si>
    <t>за 2010г.</t>
  </si>
  <si>
    <t>за 2009 г.</t>
  </si>
  <si>
    <t>10</t>
  </si>
  <si>
    <t>Финансовый результат по дому с начала года</t>
  </si>
  <si>
    <t>Итого за 2011 г</t>
  </si>
  <si>
    <t>Задолженность на 01.___________.2011г</t>
  </si>
  <si>
    <t>Проверка дымовых каналов</t>
  </si>
  <si>
    <t>результат за месяц</t>
  </si>
  <si>
    <t>12331,15</t>
  </si>
  <si>
    <t>Благоустройство территории</t>
  </si>
  <si>
    <t>4.13</t>
  </si>
  <si>
    <t>4.12</t>
  </si>
  <si>
    <t>Итого за 2012 г</t>
  </si>
  <si>
    <t>Итого за 2013 г</t>
  </si>
  <si>
    <t xml:space="preserve">%  оплаты </t>
  </si>
  <si>
    <t>4.3</t>
  </si>
  <si>
    <t>Тех.обслуживание  газопровода</t>
  </si>
  <si>
    <t xml:space="preserve">Материалы </t>
  </si>
  <si>
    <t>Итого за 2014 г</t>
  </si>
  <si>
    <t>рентабельность 5%</t>
  </si>
  <si>
    <t>Итого за 2015 г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</si>
  <si>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</si>
  <si>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</si>
  <si>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</si>
  <si>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Услуги сторонних орган.</t>
  </si>
  <si>
    <t>Исполнитель  вед. экономист /Викторова Л.С./</t>
  </si>
  <si>
    <t>Итого за 2016 г</t>
  </si>
  <si>
    <t>Дом по пер.Крупской д.3 вступил в ООО "Наш дом" в октябре 2009 года                     тариф 9,32 руб</t>
  </si>
  <si>
    <t>Итого за 2017 г</t>
  </si>
  <si>
    <t>Всего за 2009-2017</t>
  </si>
  <si>
    <t>Начислено СОИД</t>
  </si>
  <si>
    <t>Электроэнергия CОИД</t>
  </si>
  <si>
    <t>Холодная вода СОИД</t>
  </si>
  <si>
    <t>Канализация СОИД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</si>
</sst>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19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1" fillId="0" borderId="0" xfId="0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center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/>
    </xf>
    <xf numFmtId="0" fontId="24" fillId="0" borderId="16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0" xfId="0" applyFont="1" applyBorder="1" applyAlignment="1">
      <alignment/>
    </xf>
    <xf numFmtId="0" fontId="24" fillId="0" borderId="21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1" xfId="0" applyFont="1" applyBorder="1" applyAlignment="1">
      <alignment horizontal="left" wrapText="1"/>
    </xf>
    <xf numFmtId="1" fontId="20" fillId="0" borderId="25" xfId="0" applyNumberFormat="1" applyFont="1" applyBorder="1" applyAlignment="1">
      <alignment horizontal="center"/>
    </xf>
    <xf numFmtId="1" fontId="20" fillId="0" borderId="26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/>
    </xf>
    <xf numFmtId="0" fontId="24" fillId="0" borderId="11" xfId="0" applyFont="1" applyBorder="1" applyAlignment="1">
      <alignment wrapText="1"/>
    </xf>
    <xf numFmtId="49" fontId="20" fillId="0" borderId="27" xfId="0" applyNumberFormat="1" applyFont="1" applyBorder="1" applyAlignment="1">
      <alignment horizontal="right"/>
    </xf>
    <xf numFmtId="0" fontId="20" fillId="0" borderId="27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12" xfId="0" applyFont="1" applyBorder="1" applyAlignment="1">
      <alignment/>
    </xf>
    <xf numFmtId="49" fontId="20" fillId="0" borderId="16" xfId="0" applyNumberFormat="1" applyFont="1" applyBorder="1" applyAlignment="1">
      <alignment wrapText="1"/>
    </xf>
    <xf numFmtId="2" fontId="20" fillId="0" borderId="24" xfId="0" applyNumberFormat="1" applyFont="1" applyBorder="1" applyAlignment="1">
      <alignment wrapText="1"/>
    </xf>
    <xf numFmtId="2" fontId="20" fillId="0" borderId="17" xfId="0" applyNumberFormat="1" applyFont="1" applyBorder="1" applyAlignment="1">
      <alignment wrapText="1"/>
    </xf>
    <xf numFmtId="2" fontId="20" fillId="0" borderId="19" xfId="0" applyNumberFormat="1" applyFont="1" applyBorder="1" applyAlignment="1">
      <alignment/>
    </xf>
    <xf numFmtId="2" fontId="20" fillId="0" borderId="20" xfId="0" applyNumberFormat="1" applyFont="1" applyBorder="1" applyAlignment="1">
      <alignment/>
    </xf>
    <xf numFmtId="0" fontId="20" fillId="0" borderId="21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0" fillId="0" borderId="15" xfId="0" applyFont="1" applyBorder="1" applyAlignment="1">
      <alignment horizontal="right" wrapText="1"/>
    </xf>
    <xf numFmtId="0" fontId="20" fillId="0" borderId="22" xfId="0" applyFont="1" applyBorder="1" applyAlignment="1">
      <alignment horizontal="right" wrapText="1"/>
    </xf>
    <xf numFmtId="0" fontId="20" fillId="0" borderId="29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20" fillId="0" borderId="30" xfId="0" applyFont="1" applyBorder="1" applyAlignment="1">
      <alignment wrapText="1"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/>
    </xf>
    <xf numFmtId="0" fontId="19" fillId="0" borderId="33" xfId="0" applyFont="1" applyBorder="1" applyAlignment="1">
      <alignment/>
    </xf>
    <xf numFmtId="0" fontId="20" fillId="0" borderId="33" xfId="0" applyFont="1" applyBorder="1" applyAlignment="1">
      <alignment wrapText="1"/>
    </xf>
    <xf numFmtId="0" fontId="20" fillId="0" borderId="34" xfId="0" applyFont="1" applyBorder="1" applyAlignment="1">
      <alignment wrapText="1"/>
    </xf>
    <xf numFmtId="0" fontId="20" fillId="0" borderId="35" xfId="0" applyFont="1" applyBorder="1" applyAlignment="1">
      <alignment wrapText="1"/>
    </xf>
    <xf numFmtId="0" fontId="20" fillId="0" borderId="36" xfId="0" applyFont="1" applyBorder="1" applyAlignment="1">
      <alignment wrapText="1"/>
    </xf>
    <xf numFmtId="0" fontId="20" fillId="0" borderId="37" xfId="0" applyFont="1" applyBorder="1" applyAlignment="1">
      <alignment/>
    </xf>
    <xf numFmtId="0" fontId="20" fillId="0" borderId="12" xfId="0" applyFont="1" applyBorder="1" applyAlignment="1">
      <alignment wrapText="1"/>
    </xf>
    <xf numFmtId="0" fontId="20" fillId="0" borderId="14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wrapText="1"/>
    </xf>
    <xf numFmtId="0" fontId="20" fillId="0" borderId="38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49" fontId="20" fillId="0" borderId="39" xfId="0" applyNumberFormat="1" applyFont="1" applyBorder="1" applyAlignment="1">
      <alignment horizontal="center"/>
    </xf>
    <xf numFmtId="0" fontId="20" fillId="0" borderId="40" xfId="0" applyFont="1" applyBorder="1" applyAlignment="1">
      <alignment wrapText="1"/>
    </xf>
    <xf numFmtId="0" fontId="20" fillId="0" borderId="41" xfId="0" applyFont="1" applyBorder="1" applyAlignment="1">
      <alignment wrapText="1"/>
    </xf>
    <xf numFmtId="0" fontId="20" fillId="0" borderId="42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35" xfId="0" applyFont="1" applyBorder="1" applyAlignment="1">
      <alignment/>
    </xf>
    <xf numFmtId="49" fontId="20" fillId="0" borderId="25" xfId="0" applyNumberFormat="1" applyFont="1" applyBorder="1" applyAlignment="1">
      <alignment horizontal="center"/>
    </xf>
    <xf numFmtId="0" fontId="20" fillId="2" borderId="34" xfId="0" applyFont="1" applyFill="1" applyBorder="1" applyAlignment="1">
      <alignment wrapText="1"/>
    </xf>
    <xf numFmtId="0" fontId="20" fillId="0" borderId="36" xfId="0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2" borderId="40" xfId="0" applyFont="1" applyFill="1" applyBorder="1" applyAlignment="1">
      <alignment wrapText="1"/>
    </xf>
    <xf numFmtId="0" fontId="20" fillId="2" borderId="19" xfId="0" applyFont="1" applyFill="1" applyBorder="1" applyAlignment="1">
      <alignment wrapText="1"/>
    </xf>
    <xf numFmtId="0" fontId="19" fillId="2" borderId="42" xfId="0" applyFont="1" applyFill="1" applyBorder="1" applyAlignment="1">
      <alignment/>
    </xf>
    <xf numFmtId="0" fontId="19" fillId="2" borderId="36" xfId="0" applyFont="1" applyFill="1" applyBorder="1" applyAlignment="1">
      <alignment/>
    </xf>
    <xf numFmtId="0" fontId="19" fillId="2" borderId="35" xfId="0" applyFont="1" applyFill="1" applyBorder="1" applyAlignment="1">
      <alignment/>
    </xf>
    <xf numFmtId="0" fontId="20" fillId="2" borderId="11" xfId="0" applyFont="1" applyFill="1" applyBorder="1" applyAlignment="1">
      <alignment/>
    </xf>
    <xf numFmtId="0" fontId="20" fillId="0" borderId="44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27" xfId="0" applyFont="1" applyBorder="1" applyAlignment="1">
      <alignment wrapText="1"/>
    </xf>
    <xf numFmtId="0" fontId="20" fillId="0" borderId="42" xfId="0" applyFont="1" applyBorder="1" applyAlignment="1">
      <alignment wrapText="1"/>
    </xf>
    <xf numFmtId="0" fontId="20" fillId="2" borderId="45" xfId="0" applyFont="1" applyFill="1" applyBorder="1" applyAlignment="1">
      <alignment wrapText="1"/>
    </xf>
    <xf numFmtId="0" fontId="20" fillId="0" borderId="26" xfId="0" applyFont="1" applyBorder="1" applyAlignment="1">
      <alignment/>
    </xf>
    <xf numFmtId="2" fontId="20" fillId="0" borderId="46" xfId="0" applyNumberFormat="1" applyFont="1" applyBorder="1" applyAlignment="1">
      <alignment/>
    </xf>
    <xf numFmtId="0" fontId="20" fillId="0" borderId="47" xfId="0" applyFont="1" applyBorder="1" applyAlignment="1">
      <alignment/>
    </xf>
    <xf numFmtId="1" fontId="20" fillId="0" borderId="15" xfId="0" applyNumberFormat="1" applyFont="1" applyBorder="1" applyAlignment="1">
      <alignment horizontal="center"/>
    </xf>
    <xf numFmtId="2" fontId="20" fillId="0" borderId="12" xfId="0" applyNumberFormat="1" applyFont="1" applyBorder="1" applyAlignment="1">
      <alignment/>
    </xf>
    <xf numFmtId="0" fontId="23" fillId="0" borderId="27" xfId="0" applyFont="1" applyBorder="1" applyAlignment="1">
      <alignment horizontal="center" vertical="center" wrapText="1"/>
    </xf>
    <xf numFmtId="0" fontId="20" fillId="0" borderId="46" xfId="0" applyFont="1" applyBorder="1" applyAlignment="1">
      <alignment/>
    </xf>
    <xf numFmtId="2" fontId="20" fillId="0" borderId="37" xfId="0" applyNumberFormat="1" applyFont="1" applyBorder="1" applyAlignment="1">
      <alignment/>
    </xf>
    <xf numFmtId="2" fontId="20" fillId="0" borderId="36" xfId="0" applyNumberFormat="1" applyFont="1" applyBorder="1" applyAlignment="1">
      <alignment/>
    </xf>
    <xf numFmtId="2" fontId="20" fillId="0" borderId="28" xfId="0" applyNumberFormat="1" applyFont="1" applyBorder="1" applyAlignment="1">
      <alignment/>
    </xf>
    <xf numFmtId="2" fontId="20" fillId="0" borderId="48" xfId="0" applyNumberFormat="1" applyFont="1" applyBorder="1" applyAlignment="1">
      <alignment/>
    </xf>
    <xf numFmtId="0" fontId="24" fillId="0" borderId="24" xfId="0" applyFont="1" applyBorder="1" applyAlignment="1">
      <alignment wrapText="1"/>
    </xf>
    <xf numFmtId="2" fontId="20" fillId="0" borderId="49" xfId="0" applyNumberFormat="1" applyFont="1" applyBorder="1" applyAlignment="1">
      <alignment/>
    </xf>
    <xf numFmtId="0" fontId="24" fillId="0" borderId="50" xfId="0" applyFont="1" applyBorder="1" applyAlignment="1">
      <alignment wrapText="1"/>
    </xf>
    <xf numFmtId="0" fontId="24" fillId="0" borderId="51" xfId="0" applyFont="1" applyBorder="1" applyAlignment="1">
      <alignment wrapText="1"/>
    </xf>
    <xf numFmtId="2" fontId="20" fillId="0" borderId="50" xfId="0" applyNumberFormat="1" applyFont="1" applyBorder="1" applyAlignment="1">
      <alignment wrapText="1"/>
    </xf>
    <xf numFmtId="0" fontId="20" fillId="0" borderId="51" xfId="0" applyFont="1" applyBorder="1" applyAlignment="1">
      <alignment wrapText="1"/>
    </xf>
    <xf numFmtId="0" fontId="20" fillId="0" borderId="51" xfId="0" applyFont="1" applyBorder="1" applyAlignment="1">
      <alignment horizontal="right" wrapText="1"/>
    </xf>
    <xf numFmtId="0" fontId="20" fillId="0" borderId="52" xfId="0" applyFont="1" applyBorder="1" applyAlignment="1">
      <alignment wrapText="1"/>
    </xf>
    <xf numFmtId="2" fontId="20" fillId="0" borderId="38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24" xfId="0" applyFont="1" applyBorder="1" applyAlignment="1">
      <alignment/>
    </xf>
    <xf numFmtId="1" fontId="26" fillId="0" borderId="26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right"/>
    </xf>
    <xf numFmtId="2" fontId="25" fillId="0" borderId="16" xfId="0" applyNumberFormat="1" applyFont="1" applyBorder="1" applyAlignment="1">
      <alignment horizontal="right"/>
    </xf>
    <xf numFmtId="0" fontId="25" fillId="0" borderId="16" xfId="0" applyFont="1" applyBorder="1" applyAlignment="1">
      <alignment/>
    </xf>
    <xf numFmtId="0" fontId="25" fillId="0" borderId="33" xfId="0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0" fillId="0" borderId="37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53" xfId="0" applyFont="1" applyBorder="1" applyAlignment="1">
      <alignment wrapText="1"/>
    </xf>
    <xf numFmtId="49" fontId="20" fillId="0" borderId="24" xfId="0" applyNumberFormat="1" applyFont="1" applyBorder="1" applyAlignment="1">
      <alignment horizontal="center"/>
    </xf>
    <xf numFmtId="2" fontId="20" fillId="0" borderId="35" xfId="0" applyNumberFormat="1" applyFont="1" applyBorder="1" applyAlignment="1">
      <alignment/>
    </xf>
    <xf numFmtId="2" fontId="20" fillId="0" borderId="40" xfId="0" applyNumberFormat="1" applyFont="1" applyBorder="1" applyAlignment="1">
      <alignment/>
    </xf>
    <xf numFmtId="49" fontId="20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9">
      <selection activeCell="O22" sqref="N22:O22"/>
    </sheetView>
  </sheetViews>
  <sheetFormatPr defaultColWidth="9.00390625" defaultRowHeight="12.75"/>
  <cols>
    <col min="1" max="1" width="3.875" style="0" customWidth="1"/>
    <col min="2" max="2" width="20.75390625" style="0" customWidth="1"/>
    <col min="3" max="3" width="11.25390625" style="0" hidden="1" customWidth="1"/>
    <col min="4" max="4" width="12.00390625" style="0" hidden="1" customWidth="1"/>
    <col min="5" max="5" width="9.25390625" style="0" hidden="1" customWidth="1"/>
    <col min="6" max="6" width="9.875" style="0" hidden="1" customWidth="1"/>
    <col min="7" max="7" width="0.12890625" style="0" hidden="1" customWidth="1"/>
    <col min="8" max="8" width="9.00390625" style="0" hidden="1" customWidth="1"/>
    <col min="9" max="9" width="8.75390625" style="0" hidden="1" customWidth="1"/>
    <col min="10" max="10" width="9.00390625" style="0" hidden="1" customWidth="1"/>
    <col min="11" max="12" width="8.125" style="0" customWidth="1"/>
    <col min="13" max="13" width="9.125" style="0" customWidth="1"/>
    <col min="14" max="14" width="8.75390625" style="0" customWidth="1"/>
    <col min="15" max="15" width="8.625" style="0" customWidth="1"/>
    <col min="16" max="16" width="8.125" style="0" customWidth="1"/>
    <col min="17" max="17" width="8.625" style="0" customWidth="1"/>
    <col min="18" max="18" width="7.75390625" style="0" customWidth="1"/>
    <col min="19" max="19" width="7.875" style="0" customWidth="1"/>
    <col min="20" max="20" width="9.00390625" style="0" customWidth="1"/>
    <col min="21" max="21" width="8.125" style="0" customWidth="1"/>
    <col min="22" max="22" width="9.00390625" style="0" customWidth="1"/>
    <col min="23" max="23" width="10.75390625" style="0" customWidth="1"/>
    <col min="24" max="24" width="9.375" style="0" hidden="1" customWidth="1"/>
  </cols>
  <sheetData>
    <row r="1" spans="2:29" ht="12.75" customHeight="1">
      <c r="B1" s="117" t="s">
        <v>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2.75" customHeight="1" hidden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12" customHeight="1">
      <c r="B3" s="117" t="s">
        <v>75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4"/>
      <c r="Z3" s="4"/>
      <c r="AA3" s="4"/>
      <c r="AB3" s="4"/>
      <c r="AC3" s="4"/>
    </row>
    <row r="4" spans="2:29" ht="12.75" customHeight="1" hidden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>
      <c r="B5" s="116" t="s">
        <v>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3"/>
      <c r="Z5" s="3"/>
      <c r="AA5" s="3"/>
      <c r="AB5" s="3"/>
      <c r="AC5" s="3"/>
    </row>
    <row r="6" spans="2:29" ht="15" customHeight="1">
      <c r="B6" s="115" t="s">
        <v>11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2"/>
      <c r="Z6" s="2"/>
      <c r="AA6" s="2"/>
      <c r="AB6" s="2"/>
      <c r="AC6" s="2"/>
    </row>
    <row r="7" spans="2:29" ht="16.5" customHeight="1" thickBot="1">
      <c r="B7" s="115" t="s">
        <v>47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2"/>
      <c r="Z7" s="2"/>
      <c r="AA7" s="2"/>
      <c r="AB7" s="2"/>
      <c r="AC7" s="2"/>
    </row>
    <row r="8" spans="2:29" ht="16.5" customHeight="1" hidden="1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"/>
      <c r="Z8" s="2"/>
      <c r="AA8" s="2"/>
      <c r="AB8" s="2"/>
      <c r="AC8" s="2"/>
    </row>
    <row r="9" spans="1:29" ht="36" customHeight="1" thickBot="1">
      <c r="A9" s="9" t="s">
        <v>27</v>
      </c>
      <c r="B9" s="10" t="s">
        <v>7</v>
      </c>
      <c r="C9" s="10" t="s">
        <v>49</v>
      </c>
      <c r="D9" s="11" t="s">
        <v>48</v>
      </c>
      <c r="E9" s="12" t="s">
        <v>52</v>
      </c>
      <c r="F9" s="12" t="s">
        <v>60</v>
      </c>
      <c r="G9" s="12" t="s">
        <v>61</v>
      </c>
      <c r="H9" s="12" t="s">
        <v>66</v>
      </c>
      <c r="I9" s="12" t="s">
        <v>68</v>
      </c>
      <c r="J9" s="12" t="s">
        <v>74</v>
      </c>
      <c r="K9" s="15" t="s">
        <v>12</v>
      </c>
      <c r="L9" s="93" t="s">
        <v>13</v>
      </c>
      <c r="M9" s="13" t="s">
        <v>14</v>
      </c>
      <c r="N9" s="13" t="s">
        <v>15</v>
      </c>
      <c r="O9" s="13" t="s">
        <v>16</v>
      </c>
      <c r="P9" s="13" t="s">
        <v>17</v>
      </c>
      <c r="Q9" s="13" t="s">
        <v>18</v>
      </c>
      <c r="R9" s="13" t="s">
        <v>19</v>
      </c>
      <c r="S9" s="13" t="s">
        <v>20</v>
      </c>
      <c r="T9" s="13" t="s">
        <v>21</v>
      </c>
      <c r="U9" s="13" t="s">
        <v>23</v>
      </c>
      <c r="V9" s="14" t="s">
        <v>22</v>
      </c>
      <c r="W9" s="12" t="s">
        <v>76</v>
      </c>
      <c r="X9" s="15" t="s">
        <v>77</v>
      </c>
      <c r="Y9" s="1"/>
      <c r="Z9" s="1"/>
      <c r="AA9" s="1"/>
      <c r="AB9" s="1"/>
      <c r="AC9" s="1"/>
    </row>
    <row r="10" spans="1:24" ht="13.5" thickBot="1">
      <c r="A10" s="16" t="s">
        <v>28</v>
      </c>
      <c r="B10" s="17" t="s">
        <v>1</v>
      </c>
      <c r="C10" s="18">
        <v>13595.4</v>
      </c>
      <c r="D10" s="18">
        <v>54581.63</v>
      </c>
      <c r="E10" s="19">
        <v>60210.62</v>
      </c>
      <c r="F10" s="18">
        <v>61354.72</v>
      </c>
      <c r="G10" s="18">
        <v>61500.6</v>
      </c>
      <c r="H10" s="99">
        <v>61528.56</v>
      </c>
      <c r="I10" s="101">
        <v>61528.56</v>
      </c>
      <c r="J10" s="18">
        <v>61528.56</v>
      </c>
      <c r="K10" s="94">
        <v>5127.38</v>
      </c>
      <c r="L10" s="21">
        <v>5127.38</v>
      </c>
      <c r="M10" s="21">
        <v>5127.38</v>
      </c>
      <c r="N10" s="21">
        <v>5127.38</v>
      </c>
      <c r="O10" s="21">
        <v>5127.38</v>
      </c>
      <c r="P10" s="21">
        <v>5127.38</v>
      </c>
      <c r="Q10" s="21">
        <v>5127.38</v>
      </c>
      <c r="R10" s="21">
        <v>5127.38</v>
      </c>
      <c r="S10" s="21">
        <v>5137.63</v>
      </c>
      <c r="T10" s="21">
        <v>5137.63</v>
      </c>
      <c r="U10" s="21">
        <v>5137.63</v>
      </c>
      <c r="V10" s="22">
        <v>5137.63</v>
      </c>
      <c r="W10" s="23">
        <f>SUM(K10:V10)</f>
        <v>61569.55999999999</v>
      </c>
      <c r="X10" s="108">
        <f>SUM(C10:V10)</f>
        <v>497398.2100000001</v>
      </c>
    </row>
    <row r="11" spans="1:24" ht="12.75">
      <c r="A11" s="16"/>
      <c r="B11" s="17" t="s">
        <v>78</v>
      </c>
      <c r="C11" s="99"/>
      <c r="D11" s="99"/>
      <c r="E11" s="19"/>
      <c r="F11" s="99"/>
      <c r="G11" s="99"/>
      <c r="H11" s="99"/>
      <c r="I11" s="101"/>
      <c r="J11" s="99">
        <v>0</v>
      </c>
      <c r="K11" s="94">
        <f>300.87+14.37</f>
        <v>315.24</v>
      </c>
      <c r="L11" s="21">
        <f>300.87+14.37</f>
        <v>315.24</v>
      </c>
      <c r="M11" s="21">
        <f>300.87+14.37</f>
        <v>315.24</v>
      </c>
      <c r="N11" s="21">
        <f>300.87+15.41</f>
        <v>316.28000000000003</v>
      </c>
      <c r="O11" s="21">
        <f>300.87+15.41</f>
        <v>316.28000000000003</v>
      </c>
      <c r="P11" s="21">
        <f>207.57+29.86+25.99</f>
        <v>263.42</v>
      </c>
      <c r="Q11" s="21">
        <f>217.74+30.13+26.57</f>
        <v>274.44</v>
      </c>
      <c r="R11" s="21">
        <f>217.74+30.13+26.57</f>
        <v>274.44</v>
      </c>
      <c r="S11" s="21">
        <f>217.69+30.13+26.6</f>
        <v>274.42</v>
      </c>
      <c r="T11" s="21">
        <f>217.69+30.13+26.6</f>
        <v>274.42</v>
      </c>
      <c r="U11" s="21">
        <f>217.69+30.13+26.6</f>
        <v>274.42</v>
      </c>
      <c r="V11" s="22">
        <f>217.69+30.13+26.6</f>
        <v>274.42</v>
      </c>
      <c r="W11" s="23">
        <f>SUM(K11:V11)</f>
        <v>3488.26</v>
      </c>
      <c r="X11" s="108">
        <f>SUM(C11:V11)</f>
        <v>3488.26</v>
      </c>
    </row>
    <row r="12" spans="1:24" ht="12.75">
      <c r="A12" s="16" t="s">
        <v>29</v>
      </c>
      <c r="B12" s="24" t="s">
        <v>2</v>
      </c>
      <c r="C12" s="25">
        <v>6072.88</v>
      </c>
      <c r="D12" s="25">
        <v>41402.82</v>
      </c>
      <c r="E12" s="26">
        <v>47598.78</v>
      </c>
      <c r="F12" s="25">
        <v>50120.42</v>
      </c>
      <c r="G12" s="25">
        <v>49988.19</v>
      </c>
      <c r="H12" s="25">
        <v>50835.22</v>
      </c>
      <c r="I12" s="102">
        <v>70688.83</v>
      </c>
      <c r="J12" s="25">
        <v>52637.05</v>
      </c>
      <c r="K12" s="88">
        <v>5301.38</v>
      </c>
      <c r="L12" s="20">
        <v>4421.05</v>
      </c>
      <c r="M12" s="20">
        <v>5051.72</v>
      </c>
      <c r="N12" s="20">
        <v>4066.8</v>
      </c>
      <c r="O12" s="20">
        <v>4462.09</v>
      </c>
      <c r="P12" s="20">
        <v>3685.75</v>
      </c>
      <c r="Q12" s="20">
        <v>5632.07</v>
      </c>
      <c r="R12" s="20">
        <v>5810.45</v>
      </c>
      <c r="S12" s="20">
        <v>3692.38</v>
      </c>
      <c r="T12" s="20">
        <v>4321.33</v>
      </c>
      <c r="U12" s="20">
        <v>5228.55</v>
      </c>
      <c r="V12" s="27">
        <v>4223.77</v>
      </c>
      <c r="W12" s="28">
        <f>SUM(K12:V12)</f>
        <v>55897.34</v>
      </c>
      <c r="X12" s="109">
        <f>SUM(C12:V12)</f>
        <v>425241.53</v>
      </c>
    </row>
    <row r="13" spans="1:24" ht="15" customHeight="1" thickBot="1">
      <c r="A13" s="16" t="s">
        <v>30</v>
      </c>
      <c r="B13" s="29" t="s">
        <v>62</v>
      </c>
      <c r="C13" s="30">
        <f aca="true" t="shared" si="0" ref="C13:H13">SUM(C12/C10*100)</f>
        <v>44.668637921649974</v>
      </c>
      <c r="D13" s="30">
        <f t="shared" si="0"/>
        <v>75.85486179141225</v>
      </c>
      <c r="E13" s="32">
        <f t="shared" si="0"/>
        <v>79.05379482888566</v>
      </c>
      <c r="F13" s="30">
        <f t="shared" si="0"/>
        <v>81.68959128164875</v>
      </c>
      <c r="G13" s="91">
        <f t="shared" si="0"/>
        <v>81.28081677251929</v>
      </c>
      <c r="H13" s="91">
        <f t="shared" si="0"/>
        <v>82.62052614265636</v>
      </c>
      <c r="I13" s="32">
        <f>SUM(I12/I10*100)</f>
        <v>114.8878342025232</v>
      </c>
      <c r="J13" s="91">
        <f>SUM(J12/J10*100)</f>
        <v>85.54897107944669</v>
      </c>
      <c r="K13" s="31">
        <f>SUM(K12/(K10+K11)*100)</f>
        <v>97.40492630387571</v>
      </c>
      <c r="L13" s="31">
        <f aca="true" t="shared" si="1" ref="L13:X13">SUM(L12/(L10+L11)*100)</f>
        <v>81.2301795826275</v>
      </c>
      <c r="M13" s="31">
        <f t="shared" si="1"/>
        <v>92.81779731085396</v>
      </c>
      <c r="N13" s="31">
        <f t="shared" si="1"/>
        <v>74.70709045017507</v>
      </c>
      <c r="O13" s="31">
        <f t="shared" si="1"/>
        <v>81.96856526675069</v>
      </c>
      <c r="P13" s="31">
        <f t="shared" si="1"/>
        <v>68.37111374935074</v>
      </c>
      <c r="Q13" s="31">
        <f t="shared" si="1"/>
        <v>104.26245228460039</v>
      </c>
      <c r="R13" s="31">
        <f t="shared" si="1"/>
        <v>107.564672647367</v>
      </c>
      <c r="S13" s="31">
        <f t="shared" si="1"/>
        <v>68.2251642168864</v>
      </c>
      <c r="T13" s="31">
        <f t="shared" si="1"/>
        <v>79.84645374673183</v>
      </c>
      <c r="U13" s="31">
        <f t="shared" si="1"/>
        <v>96.60941787307952</v>
      </c>
      <c r="V13" s="31">
        <f t="shared" si="1"/>
        <v>78.04380964699145</v>
      </c>
      <c r="W13" s="31">
        <f t="shared" si="1"/>
        <v>85.91947901113195</v>
      </c>
      <c r="X13" s="110">
        <f t="shared" si="1"/>
        <v>84.89778731695426</v>
      </c>
    </row>
    <row r="14" spans="1:24" ht="13.5" thickBot="1">
      <c r="A14" s="16" t="s">
        <v>31</v>
      </c>
      <c r="B14" s="33" t="s">
        <v>3</v>
      </c>
      <c r="C14" s="34" t="s">
        <v>56</v>
      </c>
      <c r="D14" s="35">
        <f aca="true" t="shared" si="2" ref="D14:K14">SUM(D15:D29)</f>
        <v>69100.39</v>
      </c>
      <c r="E14" s="61">
        <f t="shared" si="2"/>
        <v>62002.869999999995</v>
      </c>
      <c r="F14" s="38">
        <f t="shared" si="2"/>
        <v>59304.600000000006</v>
      </c>
      <c r="G14" s="38">
        <f t="shared" si="2"/>
        <v>71687.21</v>
      </c>
      <c r="H14" s="38">
        <f t="shared" si="2"/>
        <v>63758.18000000001</v>
      </c>
      <c r="I14" s="37">
        <f>SUM(I15:I29)</f>
        <v>55831.02</v>
      </c>
      <c r="J14" s="38">
        <f>SUM(J15:J29)</f>
        <v>57977.77</v>
      </c>
      <c r="K14" s="35">
        <f t="shared" si="2"/>
        <v>4892.17</v>
      </c>
      <c r="L14" s="35">
        <f aca="true" t="shared" si="3" ref="L14:V14">SUM(L15:L29)</f>
        <v>4678.21</v>
      </c>
      <c r="M14" s="35">
        <f t="shared" si="3"/>
        <v>4672.61</v>
      </c>
      <c r="N14" s="35">
        <f t="shared" si="3"/>
        <v>6379.88</v>
      </c>
      <c r="O14" s="35">
        <f t="shared" si="3"/>
        <v>4612.64</v>
      </c>
      <c r="P14" s="35">
        <f t="shared" si="3"/>
        <v>4542.83</v>
      </c>
      <c r="Q14" s="35">
        <f t="shared" si="3"/>
        <v>5048.61</v>
      </c>
      <c r="R14" s="35">
        <f t="shared" si="3"/>
        <v>5439.35</v>
      </c>
      <c r="S14" s="35">
        <f t="shared" si="3"/>
        <v>4577.68</v>
      </c>
      <c r="T14" s="35">
        <f t="shared" si="3"/>
        <v>4743.91</v>
      </c>
      <c r="U14" s="35">
        <f t="shared" si="3"/>
        <v>4868.390000000001</v>
      </c>
      <c r="V14" s="37">
        <f t="shared" si="3"/>
        <v>4523.15</v>
      </c>
      <c r="W14" s="38">
        <f>SUM(K14:V14)</f>
        <v>58979.43</v>
      </c>
      <c r="X14" s="111">
        <f aca="true" t="shared" si="4" ref="X14:X29">SUM(C14:V14)</f>
        <v>498641.47000000003</v>
      </c>
    </row>
    <row r="15" spans="1:24" ht="12.75">
      <c r="A15" s="16" t="s">
        <v>32</v>
      </c>
      <c r="B15" s="39" t="s">
        <v>5</v>
      </c>
      <c r="C15" s="39"/>
      <c r="D15" s="40">
        <v>23673.38</v>
      </c>
      <c r="E15" s="41">
        <v>20524.33</v>
      </c>
      <c r="F15" s="40">
        <v>20717.33</v>
      </c>
      <c r="G15" s="40">
        <v>21685.82</v>
      </c>
      <c r="H15" s="40">
        <v>21887.31</v>
      </c>
      <c r="I15" s="103">
        <v>21133.84</v>
      </c>
      <c r="J15" s="40">
        <v>20570.16</v>
      </c>
      <c r="K15" s="89">
        <f>1643+20.5</f>
        <v>1663.5</v>
      </c>
      <c r="L15" s="42">
        <f>1643+96.37</f>
        <v>1739.37</v>
      </c>
      <c r="M15" s="42">
        <f>1643+56.59</f>
        <v>1699.59</v>
      </c>
      <c r="N15" s="42">
        <f>1643+179.33</f>
        <v>1822.33</v>
      </c>
      <c r="O15" s="42">
        <f>1643+89.51</f>
        <v>1732.51</v>
      </c>
      <c r="P15" s="42">
        <f>1643+54.71</f>
        <v>1697.71</v>
      </c>
      <c r="Q15" s="42">
        <f>1643+86.2</f>
        <v>1729.2</v>
      </c>
      <c r="R15" s="42">
        <f>1643+100.22</f>
        <v>1743.22</v>
      </c>
      <c r="S15" s="42">
        <f>1643+103.67</f>
        <v>1746.67</v>
      </c>
      <c r="T15" s="42">
        <f>1643+107.77</f>
        <v>1750.77</v>
      </c>
      <c r="U15" s="42">
        <f>1643+94.18</f>
        <v>1737.18</v>
      </c>
      <c r="V15" s="43">
        <f>1643+94.36</f>
        <v>1737.36</v>
      </c>
      <c r="W15" s="28">
        <f aca="true" t="shared" si="5" ref="W15:W31">SUM(K15:V15)</f>
        <v>20799.41</v>
      </c>
      <c r="X15" s="112">
        <f t="shared" si="4"/>
        <v>170991.58</v>
      </c>
    </row>
    <row r="16" spans="1:24" ht="12.75" customHeight="1">
      <c r="A16" s="16" t="s">
        <v>38</v>
      </c>
      <c r="B16" s="44" t="s">
        <v>72</v>
      </c>
      <c r="C16" s="44"/>
      <c r="D16" s="45">
        <v>15632.43</v>
      </c>
      <c r="E16" s="46">
        <v>7898.98</v>
      </c>
      <c r="F16" s="45">
        <v>672.45</v>
      </c>
      <c r="G16" s="45">
        <v>6597.66</v>
      </c>
      <c r="H16" s="45">
        <v>480</v>
      </c>
      <c r="I16" s="104">
        <v>1495.08</v>
      </c>
      <c r="J16" s="45">
        <v>54.71</v>
      </c>
      <c r="K16" s="88"/>
      <c r="L16" s="20"/>
      <c r="M16" s="20"/>
      <c r="N16" s="20">
        <v>1679.5</v>
      </c>
      <c r="O16" s="20"/>
      <c r="P16" s="20"/>
      <c r="Q16" s="20"/>
      <c r="R16" s="20"/>
      <c r="S16" s="20"/>
      <c r="T16" s="20"/>
      <c r="U16" s="20"/>
      <c r="V16" s="27"/>
      <c r="W16" s="28">
        <f t="shared" si="5"/>
        <v>1679.5</v>
      </c>
      <c r="X16" s="113">
        <f t="shared" si="4"/>
        <v>34510.81</v>
      </c>
    </row>
    <row r="17" spans="1:24" ht="20.25" customHeight="1">
      <c r="A17" s="16" t="s">
        <v>63</v>
      </c>
      <c r="B17" s="44" t="s">
        <v>64</v>
      </c>
      <c r="C17" s="44"/>
      <c r="D17" s="45"/>
      <c r="E17" s="46"/>
      <c r="F17" s="45"/>
      <c r="G17" s="45">
        <v>4204.34</v>
      </c>
      <c r="H17" s="45"/>
      <c r="I17" s="104">
        <v>0</v>
      </c>
      <c r="J17" s="45">
        <v>5424.38</v>
      </c>
      <c r="K17" s="88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7"/>
      <c r="W17" s="28">
        <f t="shared" si="5"/>
        <v>0</v>
      </c>
      <c r="X17" s="113">
        <f t="shared" si="4"/>
        <v>9628.720000000001</v>
      </c>
    </row>
    <row r="18" spans="1:24" ht="20.25" customHeight="1">
      <c r="A18" s="16" t="s">
        <v>39</v>
      </c>
      <c r="B18" s="29" t="s">
        <v>54</v>
      </c>
      <c r="C18" s="29">
        <v>0</v>
      </c>
      <c r="D18" s="47">
        <v>0</v>
      </c>
      <c r="E18" s="48">
        <v>687.03</v>
      </c>
      <c r="F18" s="47">
        <v>0</v>
      </c>
      <c r="G18" s="47">
        <v>0</v>
      </c>
      <c r="H18" s="47"/>
      <c r="I18" s="105">
        <v>500</v>
      </c>
      <c r="J18" s="47">
        <v>0</v>
      </c>
      <c r="K18" s="88"/>
      <c r="L18" s="20"/>
      <c r="M18" s="20"/>
      <c r="N18" s="20"/>
      <c r="O18" s="20"/>
      <c r="P18" s="20"/>
      <c r="Q18" s="20"/>
      <c r="R18" s="20">
        <v>600</v>
      </c>
      <c r="S18" s="20"/>
      <c r="T18" s="20"/>
      <c r="U18" s="20"/>
      <c r="V18" s="27"/>
      <c r="W18" s="28">
        <f t="shared" si="5"/>
        <v>600</v>
      </c>
      <c r="X18" s="113">
        <f t="shared" si="4"/>
        <v>1787.03</v>
      </c>
    </row>
    <row r="19" spans="1:24" ht="14.25" customHeight="1">
      <c r="A19" s="16" t="s">
        <v>40</v>
      </c>
      <c r="B19" s="44" t="s">
        <v>65</v>
      </c>
      <c r="C19" s="44"/>
      <c r="D19" s="45">
        <v>9058.52</v>
      </c>
      <c r="E19" s="46">
        <v>287.15</v>
      </c>
      <c r="F19" s="45">
        <v>116.02</v>
      </c>
      <c r="G19" s="45">
        <v>289.01</v>
      </c>
      <c r="H19" s="45">
        <v>3129.69</v>
      </c>
      <c r="I19" s="104">
        <v>-2230.35</v>
      </c>
      <c r="J19" s="45">
        <v>527.5</v>
      </c>
      <c r="K19" s="88"/>
      <c r="L19" s="20"/>
      <c r="M19" s="20"/>
      <c r="N19" s="20"/>
      <c r="O19" s="20"/>
      <c r="P19" s="20"/>
      <c r="Q19" s="20">
        <v>465</v>
      </c>
      <c r="R19" s="20">
        <v>95</v>
      </c>
      <c r="S19" s="20"/>
      <c r="T19" s="20"/>
      <c r="U19" s="20"/>
      <c r="V19" s="27"/>
      <c r="W19" s="28">
        <f t="shared" si="5"/>
        <v>560</v>
      </c>
      <c r="X19" s="113">
        <f t="shared" si="4"/>
        <v>11737.54</v>
      </c>
    </row>
    <row r="20" spans="1:24" ht="18.75" customHeight="1">
      <c r="A20" s="16" t="s">
        <v>41</v>
      </c>
      <c r="B20" s="44" t="s">
        <v>57</v>
      </c>
      <c r="C20" s="44"/>
      <c r="D20" s="45">
        <v>0</v>
      </c>
      <c r="E20" s="46">
        <v>0</v>
      </c>
      <c r="F20" s="45">
        <v>256</v>
      </c>
      <c r="G20" s="45">
        <v>0</v>
      </c>
      <c r="H20" s="45">
        <v>16.97</v>
      </c>
      <c r="I20" s="104">
        <v>52.96</v>
      </c>
      <c r="J20" s="45">
        <v>51</v>
      </c>
      <c r="K20" s="88">
        <v>268.15</v>
      </c>
      <c r="L20" s="20">
        <v>94.94</v>
      </c>
      <c r="M20" s="20"/>
      <c r="N20" s="20"/>
      <c r="O20" s="20"/>
      <c r="P20" s="20"/>
      <c r="Q20" s="20"/>
      <c r="R20" s="20"/>
      <c r="S20" s="20"/>
      <c r="T20" s="20"/>
      <c r="U20" s="20"/>
      <c r="V20" s="27">
        <v>42.09</v>
      </c>
      <c r="W20" s="28">
        <f>SUM(K20:V20)</f>
        <v>405.17999999999995</v>
      </c>
      <c r="X20" s="113">
        <f>SUM(C20:V20)</f>
        <v>782.11</v>
      </c>
    </row>
    <row r="21" spans="1:24" ht="12" customHeight="1">
      <c r="A21" s="16" t="s">
        <v>42</v>
      </c>
      <c r="B21" s="44" t="s">
        <v>79</v>
      </c>
      <c r="C21" s="44"/>
      <c r="D21" s="45">
        <v>1505.57</v>
      </c>
      <c r="E21" s="46">
        <v>627.39</v>
      </c>
      <c r="F21" s="45">
        <v>229.13</v>
      </c>
      <c r="G21" s="45">
        <v>0</v>
      </c>
      <c r="H21" s="45"/>
      <c r="I21" s="104">
        <v>0</v>
      </c>
      <c r="J21" s="45">
        <v>0</v>
      </c>
      <c r="K21" s="88">
        <v>300.87</v>
      </c>
      <c r="L21" s="20">
        <v>300.87</v>
      </c>
      <c r="M21" s="20">
        <v>300.87</v>
      </c>
      <c r="N21" s="20">
        <v>300.87</v>
      </c>
      <c r="O21" s="20">
        <v>300.87</v>
      </c>
      <c r="P21" s="20">
        <v>207.57</v>
      </c>
      <c r="Q21" s="20">
        <v>217.74</v>
      </c>
      <c r="R21" s="20">
        <v>217.74</v>
      </c>
      <c r="S21" s="20">
        <v>217.69</v>
      </c>
      <c r="T21" s="20">
        <v>217.69</v>
      </c>
      <c r="U21" s="20">
        <v>217.69</v>
      </c>
      <c r="V21" s="27">
        <v>217.69</v>
      </c>
      <c r="W21" s="28">
        <f t="shared" si="5"/>
        <v>3018.16</v>
      </c>
      <c r="X21" s="113">
        <f t="shared" si="4"/>
        <v>5380.249999999998</v>
      </c>
    </row>
    <row r="22" spans="1:24" ht="12" customHeight="1">
      <c r="A22" s="16"/>
      <c r="B22" s="44" t="s">
        <v>80</v>
      </c>
      <c r="C22" s="44"/>
      <c r="D22" s="45"/>
      <c r="E22" s="46"/>
      <c r="F22" s="45"/>
      <c r="G22" s="45"/>
      <c r="H22" s="45"/>
      <c r="I22" s="104"/>
      <c r="J22" s="45"/>
      <c r="K22" s="88"/>
      <c r="L22" s="20"/>
      <c r="M22" s="20"/>
      <c r="N22" s="20"/>
      <c r="O22" s="20">
        <v>61.6</v>
      </c>
      <c r="P22" s="20">
        <v>45.25</v>
      </c>
      <c r="Q22" s="20">
        <v>30.13</v>
      </c>
      <c r="R22" s="20">
        <v>30.13</v>
      </c>
      <c r="S22" s="20">
        <v>30.13</v>
      </c>
      <c r="T22" s="20">
        <v>30.13</v>
      </c>
      <c r="U22" s="20">
        <v>30.13</v>
      </c>
      <c r="V22" s="27">
        <v>30.13</v>
      </c>
      <c r="W22" s="28">
        <f>SUM(K22:V22)</f>
        <v>287.63</v>
      </c>
      <c r="X22" s="113">
        <f>SUM(C22:V22)</f>
        <v>287.63</v>
      </c>
    </row>
    <row r="23" spans="1:24" ht="12" customHeight="1">
      <c r="A23" s="16"/>
      <c r="B23" s="44" t="s">
        <v>81</v>
      </c>
      <c r="C23" s="44"/>
      <c r="D23" s="45"/>
      <c r="E23" s="46"/>
      <c r="F23" s="45"/>
      <c r="G23" s="45"/>
      <c r="H23" s="45"/>
      <c r="I23" s="104"/>
      <c r="J23" s="45"/>
      <c r="K23" s="88"/>
      <c r="L23" s="20"/>
      <c r="M23" s="20"/>
      <c r="N23" s="20"/>
      <c r="O23" s="20"/>
      <c r="P23" s="20">
        <v>25.98</v>
      </c>
      <c r="Q23" s="20">
        <v>28.61</v>
      </c>
      <c r="R23" s="20">
        <v>26.61</v>
      </c>
      <c r="S23" s="20">
        <v>26.61</v>
      </c>
      <c r="T23" s="20">
        <v>26.61</v>
      </c>
      <c r="U23" s="20">
        <v>26.61</v>
      </c>
      <c r="V23" s="27">
        <v>26.61</v>
      </c>
      <c r="W23" s="28">
        <f>SUM(K23:V23)</f>
        <v>187.64000000000004</v>
      </c>
      <c r="X23" s="113">
        <f>SUM(C23:V23)</f>
        <v>187.64000000000004</v>
      </c>
    </row>
    <row r="24" spans="1:24" ht="14.25" customHeight="1">
      <c r="A24" s="16" t="s">
        <v>43</v>
      </c>
      <c r="B24" s="44" t="s">
        <v>6</v>
      </c>
      <c r="C24" s="44"/>
      <c r="D24" s="45">
        <v>664.78</v>
      </c>
      <c r="E24" s="46">
        <v>573.99</v>
      </c>
      <c r="F24" s="45">
        <v>418.9</v>
      </c>
      <c r="G24" s="45">
        <v>485.95</v>
      </c>
      <c r="H24" s="45"/>
      <c r="I24" s="104">
        <v>0</v>
      </c>
      <c r="J24" s="45">
        <v>0</v>
      </c>
      <c r="K24" s="88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7"/>
      <c r="W24" s="28">
        <f t="shared" si="5"/>
        <v>0</v>
      </c>
      <c r="X24" s="113">
        <f t="shared" si="4"/>
        <v>2143.62</v>
      </c>
    </row>
    <row r="25" spans="1:24" ht="31.5" customHeight="1">
      <c r="A25" s="16" t="s">
        <v>44</v>
      </c>
      <c r="B25" s="44" t="s">
        <v>69</v>
      </c>
      <c r="C25" s="44"/>
      <c r="D25" s="45">
        <v>746.74</v>
      </c>
      <c r="E25" s="46">
        <v>2662.75</v>
      </c>
      <c r="F25" s="45">
        <v>3547.81</v>
      </c>
      <c r="G25" s="45">
        <v>3148.26</v>
      </c>
      <c r="H25" s="45">
        <v>2241.79</v>
      </c>
      <c r="I25" s="104">
        <v>2644.03</v>
      </c>
      <c r="J25" s="45">
        <v>2795.98</v>
      </c>
      <c r="K25" s="88">
        <v>236.73</v>
      </c>
      <c r="L25" s="20">
        <v>221.35</v>
      </c>
      <c r="M25" s="20">
        <v>275.17</v>
      </c>
      <c r="N25" s="20">
        <v>204.5</v>
      </c>
      <c r="O25" s="20">
        <v>217.79</v>
      </c>
      <c r="P25" s="20">
        <v>244.92</v>
      </c>
      <c r="Q25" s="20">
        <v>198.5</v>
      </c>
      <c r="R25" s="20">
        <v>229.6</v>
      </c>
      <c r="S25" s="20">
        <v>216.4</v>
      </c>
      <c r="T25" s="20">
        <v>276.09</v>
      </c>
      <c r="U25" s="20">
        <v>285.58</v>
      </c>
      <c r="V25" s="27">
        <v>235.99</v>
      </c>
      <c r="W25" s="28">
        <f t="shared" si="5"/>
        <v>2842.62</v>
      </c>
      <c r="X25" s="113">
        <f t="shared" si="4"/>
        <v>20629.98</v>
      </c>
    </row>
    <row r="26" spans="1:24" ht="21.75" customHeight="1">
      <c r="A26" s="16" t="s">
        <v>45</v>
      </c>
      <c r="B26" s="44" t="s">
        <v>70</v>
      </c>
      <c r="C26" s="44"/>
      <c r="D26" s="45">
        <v>1344.31</v>
      </c>
      <c r="E26" s="46">
        <v>1449.5</v>
      </c>
      <c r="F26" s="45">
        <v>434.95</v>
      </c>
      <c r="G26" s="45">
        <v>309.97</v>
      </c>
      <c r="H26" s="45">
        <v>674.37</v>
      </c>
      <c r="I26" s="104">
        <v>455.69</v>
      </c>
      <c r="J26" s="45">
        <v>397.76</v>
      </c>
      <c r="K26" s="88">
        <v>52.02</v>
      </c>
      <c r="L26" s="20">
        <v>16.01</v>
      </c>
      <c r="M26" s="20">
        <v>17.18</v>
      </c>
      <c r="N26" s="20">
        <v>15.89</v>
      </c>
      <c r="O26" s="20">
        <v>15.42</v>
      </c>
      <c r="P26" s="20">
        <v>23.98</v>
      </c>
      <c r="Q26" s="20">
        <v>22.52</v>
      </c>
      <c r="R26" s="20">
        <v>69.34</v>
      </c>
      <c r="S26" s="20">
        <v>16.22</v>
      </c>
      <c r="T26" s="20">
        <v>23.98</v>
      </c>
      <c r="U26" s="20">
        <v>16.21</v>
      </c>
      <c r="V26" s="27">
        <v>22.1</v>
      </c>
      <c r="W26" s="28">
        <f t="shared" si="5"/>
        <v>310.87</v>
      </c>
      <c r="X26" s="113">
        <f t="shared" si="4"/>
        <v>5377.420000000001</v>
      </c>
    </row>
    <row r="27" spans="1:24" ht="33.75" customHeight="1">
      <c r="A27" s="16" t="s">
        <v>46</v>
      </c>
      <c r="B27" s="44" t="s">
        <v>71</v>
      </c>
      <c r="C27" s="44"/>
      <c r="D27" s="45">
        <v>2728.45</v>
      </c>
      <c r="E27" s="46">
        <v>2247.52</v>
      </c>
      <c r="F27" s="45">
        <v>2260.94</v>
      </c>
      <c r="G27" s="45">
        <v>3040.37</v>
      </c>
      <c r="H27" s="45">
        <v>2644.93</v>
      </c>
      <c r="I27" s="104">
        <v>3465.19</v>
      </c>
      <c r="J27" s="45">
        <v>2909.43</v>
      </c>
      <c r="K27" s="88">
        <f>10.43+72.68+118.96</f>
        <v>202.07</v>
      </c>
      <c r="L27" s="20">
        <f>10.39+86.12+72.95</f>
        <v>169.46</v>
      </c>
      <c r="M27" s="20">
        <f>10.23+95.72+128.12</f>
        <v>234.07</v>
      </c>
      <c r="N27" s="20">
        <f>9.66+87.73+123.32</f>
        <v>220.70999999999998</v>
      </c>
      <c r="O27" s="20">
        <f>9.92+106.39+301.69-200</f>
        <v>218</v>
      </c>
      <c r="P27" s="20">
        <f>146.58+11.64+87.12</f>
        <v>245.34000000000003</v>
      </c>
      <c r="Q27" s="20">
        <f>12.74+76.68+136.89</f>
        <v>226.31</v>
      </c>
      <c r="R27" s="20">
        <f>13.81+70.75+163.16</f>
        <v>247.72</v>
      </c>
      <c r="S27" s="20">
        <f>140.36+11.13+89.91</f>
        <v>241.4</v>
      </c>
      <c r="T27" s="20">
        <f>14.29+101.61+148.22</f>
        <v>264.12</v>
      </c>
      <c r="U27" s="20">
        <f>13.12+118.4+233.97</f>
        <v>365.49</v>
      </c>
      <c r="V27" s="27">
        <f>13.51+119.3+99.26</f>
        <v>232.07</v>
      </c>
      <c r="W27" s="28">
        <f t="shared" si="5"/>
        <v>2866.7600000000007</v>
      </c>
      <c r="X27" s="113">
        <f t="shared" si="4"/>
        <v>22163.59</v>
      </c>
    </row>
    <row r="28" spans="1:24" ht="13.5" customHeight="1">
      <c r="A28" s="16" t="s">
        <v>59</v>
      </c>
      <c r="B28" s="44" t="s">
        <v>10</v>
      </c>
      <c r="C28" s="44"/>
      <c r="D28" s="45">
        <v>12085.14</v>
      </c>
      <c r="E28" s="46">
        <v>21331.48</v>
      </c>
      <c r="F28" s="45">
        <v>28329.61</v>
      </c>
      <c r="G28" s="45">
        <v>30038.28</v>
      </c>
      <c r="H28" s="45">
        <v>30733.15</v>
      </c>
      <c r="I28" s="104">
        <v>25645.35</v>
      </c>
      <c r="J28" s="45">
        <v>23246.98</v>
      </c>
      <c r="K28" s="88">
        <f>5192.17-2923.52-200-100</f>
        <v>1968.65</v>
      </c>
      <c r="L28" s="20">
        <f>4978.21-2708.94-300</f>
        <v>1969.27</v>
      </c>
      <c r="M28" s="20">
        <f>4672.61-2717.63</f>
        <v>1954.9799999999996</v>
      </c>
      <c r="N28" s="20">
        <f>6579.88-4397.36-200</f>
        <v>1982.5200000000004</v>
      </c>
      <c r="O28" s="20">
        <f>4612.64-2914.68+200</f>
        <v>1897.9600000000005</v>
      </c>
      <c r="P28" s="20">
        <f>4842.83-2629.92-300</f>
        <v>1912.9099999999999</v>
      </c>
      <c r="Q28" s="20">
        <f>5148.61-3130.68-100</f>
        <v>1917.9299999999998</v>
      </c>
      <c r="R28" s="20">
        <f>5239.35-3478.77+200</f>
        <v>1960.5800000000004</v>
      </c>
      <c r="S28" s="20">
        <f>4416.5-2673.36+200</f>
        <v>1943.1399999999999</v>
      </c>
      <c r="T28" s="20">
        <f>4443.91-2752.57+300</f>
        <v>1991.3399999999997</v>
      </c>
      <c r="U28" s="20">
        <f>4568.39-2876.32+200+100</f>
        <v>1992.0700000000002</v>
      </c>
      <c r="V28" s="27">
        <f>4323.15-2703.53+200</f>
        <v>1819.6199999999994</v>
      </c>
      <c r="W28" s="28">
        <f t="shared" si="5"/>
        <v>23310.97</v>
      </c>
      <c r="X28" s="113">
        <f t="shared" si="4"/>
        <v>194720.96</v>
      </c>
    </row>
    <row r="29" spans="1:24" ht="13.5" customHeight="1" thickBot="1">
      <c r="A29" s="16" t="s">
        <v>58</v>
      </c>
      <c r="B29" s="49" t="s">
        <v>4</v>
      </c>
      <c r="C29" s="49"/>
      <c r="D29" s="50">
        <v>1661.07</v>
      </c>
      <c r="E29" s="51">
        <v>3712.75</v>
      </c>
      <c r="F29" s="50">
        <v>2321.46</v>
      </c>
      <c r="G29" s="50">
        <v>1887.55</v>
      </c>
      <c r="H29" s="50">
        <v>1949.97</v>
      </c>
      <c r="I29" s="106">
        <v>2669.23</v>
      </c>
      <c r="J29" s="50">
        <v>1999.87</v>
      </c>
      <c r="K29" s="90">
        <v>200.18</v>
      </c>
      <c r="L29" s="52">
        <f>9.25+157.69</f>
        <v>166.94</v>
      </c>
      <c r="M29" s="52">
        <f>10.37+180.38</f>
        <v>190.75</v>
      </c>
      <c r="N29" s="52">
        <f>8.74+144.82</f>
        <v>153.56</v>
      </c>
      <c r="O29" s="52">
        <f>9.79+158.7</f>
        <v>168.48999999999998</v>
      </c>
      <c r="P29" s="52">
        <f>8.03+131.14</f>
        <v>139.17</v>
      </c>
      <c r="Q29" s="52">
        <f>13.41+199.26</f>
        <v>212.67</v>
      </c>
      <c r="R29" s="52">
        <f>8.81+210.6</f>
        <v>219.41</v>
      </c>
      <c r="S29" s="52">
        <f>7.08+132.34</f>
        <v>139.42000000000002</v>
      </c>
      <c r="T29" s="52">
        <f>8.28+154.9</f>
        <v>163.18</v>
      </c>
      <c r="U29" s="52">
        <f>11.7+185.73</f>
        <v>197.42999999999998</v>
      </c>
      <c r="V29" s="53">
        <f>6.39+153.1</f>
        <v>159.48999999999998</v>
      </c>
      <c r="W29" s="59">
        <f t="shared" si="5"/>
        <v>2110.69</v>
      </c>
      <c r="X29" s="114">
        <f t="shared" si="4"/>
        <v>18312.589999999997</v>
      </c>
    </row>
    <row r="30" spans="1:24" ht="13.5" customHeight="1" thickBot="1">
      <c r="A30" s="16"/>
      <c r="B30" s="60" t="s">
        <v>67</v>
      </c>
      <c r="C30" s="56"/>
      <c r="D30" s="57"/>
      <c r="E30" s="58"/>
      <c r="F30" s="57"/>
      <c r="G30" s="57"/>
      <c r="H30" s="92">
        <f>H10*5%</f>
        <v>3076.428</v>
      </c>
      <c r="I30" s="107">
        <f>I10*5%</f>
        <v>3076.428</v>
      </c>
      <c r="J30" s="92">
        <f>J10*5%</f>
        <v>3076.428</v>
      </c>
      <c r="K30" s="96">
        <f>K10*5%</f>
        <v>256.369</v>
      </c>
      <c r="L30" s="92">
        <f aca="true" t="shared" si="6" ref="L30:V30">L10*5%</f>
        <v>256.369</v>
      </c>
      <c r="M30" s="96">
        <f t="shared" si="6"/>
        <v>256.369</v>
      </c>
      <c r="N30" s="92">
        <f t="shared" si="6"/>
        <v>256.369</v>
      </c>
      <c r="O30" s="96">
        <f t="shared" si="6"/>
        <v>256.369</v>
      </c>
      <c r="P30" s="92">
        <f t="shared" si="6"/>
        <v>256.369</v>
      </c>
      <c r="Q30" s="96">
        <f t="shared" si="6"/>
        <v>256.369</v>
      </c>
      <c r="R30" s="92">
        <f t="shared" si="6"/>
        <v>256.369</v>
      </c>
      <c r="S30" s="96">
        <f t="shared" si="6"/>
        <v>256.8815</v>
      </c>
      <c r="T30" s="92">
        <f t="shared" si="6"/>
        <v>256.8815</v>
      </c>
      <c r="U30" s="96">
        <f t="shared" si="6"/>
        <v>256.8815</v>
      </c>
      <c r="V30" s="92">
        <f t="shared" si="6"/>
        <v>256.8815</v>
      </c>
      <c r="W30" s="92">
        <f t="shared" si="5"/>
        <v>3078.4780000000005</v>
      </c>
      <c r="X30" s="84"/>
    </row>
    <row r="31" spans="1:24" ht="13.5" customHeight="1" thickBot="1">
      <c r="A31" s="66" t="s">
        <v>33</v>
      </c>
      <c r="B31" s="55" t="s">
        <v>55</v>
      </c>
      <c r="C31" s="55"/>
      <c r="D31" s="118"/>
      <c r="E31" s="119"/>
      <c r="F31" s="118"/>
      <c r="G31" s="118"/>
      <c r="H31" s="118"/>
      <c r="I31" s="120"/>
      <c r="J31" s="118"/>
      <c r="K31" s="98">
        <f>SUM(K10+K11-K14)-K30</f>
        <v>294.0809999999998</v>
      </c>
      <c r="L31" s="100">
        <f>SUM(L10+L11-L14)-L30</f>
        <v>508.0409999999998</v>
      </c>
      <c r="M31" s="98">
        <f aca="true" t="shared" si="7" ref="M31:V31">SUM(M10+M11-M14)-M30</f>
        <v>513.6410000000002</v>
      </c>
      <c r="N31" s="100">
        <f t="shared" si="7"/>
        <v>-1192.5890000000004</v>
      </c>
      <c r="O31" s="98">
        <f t="shared" si="7"/>
        <v>574.6509999999995</v>
      </c>
      <c r="P31" s="100">
        <f t="shared" si="7"/>
        <v>591.6010000000002</v>
      </c>
      <c r="Q31" s="98">
        <f t="shared" si="7"/>
        <v>96.84100000000001</v>
      </c>
      <c r="R31" s="100">
        <f t="shared" si="7"/>
        <v>-293.8990000000007</v>
      </c>
      <c r="S31" s="98">
        <f t="shared" si="7"/>
        <v>577.4884999999999</v>
      </c>
      <c r="T31" s="100">
        <f t="shared" si="7"/>
        <v>411.2585000000003</v>
      </c>
      <c r="U31" s="98">
        <f t="shared" si="7"/>
        <v>286.7784999999989</v>
      </c>
      <c r="V31" s="100">
        <f t="shared" si="7"/>
        <v>632.0185000000006</v>
      </c>
      <c r="W31" s="95">
        <f t="shared" si="5"/>
        <v>2999.9119999999984</v>
      </c>
      <c r="X31" s="54"/>
    </row>
    <row r="32" spans="1:24" ht="21.75" customHeight="1" thickBot="1">
      <c r="A32" s="124" t="s">
        <v>34</v>
      </c>
      <c r="B32" s="63" t="s">
        <v>24</v>
      </c>
      <c r="C32" s="60">
        <v>1264.25</v>
      </c>
      <c r="D32" s="60">
        <v>-14518.76</v>
      </c>
      <c r="E32" s="61">
        <f>SUM(E10-E14)</f>
        <v>-1792.2499999999927</v>
      </c>
      <c r="F32" s="38">
        <f>SUM(F10-F14)</f>
        <v>2050.1199999999953</v>
      </c>
      <c r="G32" s="38">
        <f>SUM(G10-G14)</f>
        <v>-10186.610000000008</v>
      </c>
      <c r="H32" s="92">
        <f>SUM(H10-H14)-H30</f>
        <v>-5306.04800000001</v>
      </c>
      <c r="I32" s="107">
        <f>SUM(I10-I14)-I30</f>
        <v>2621.112000000001</v>
      </c>
      <c r="J32" s="92">
        <f>SUM(J10-J14)-J30</f>
        <v>474.362000000001</v>
      </c>
      <c r="K32" s="97">
        <f>SUM(K10+K11-K14)-K30</f>
        <v>294.0809999999998</v>
      </c>
      <c r="L32" s="92">
        <f>SUM(L31+K32)</f>
        <v>802.1219999999996</v>
      </c>
      <c r="M32" s="97">
        <f aca="true" t="shared" si="8" ref="M32:V32">SUM(M31+L32)</f>
        <v>1315.763</v>
      </c>
      <c r="N32" s="92">
        <f t="shared" si="8"/>
        <v>123.17399999999952</v>
      </c>
      <c r="O32" s="97">
        <f t="shared" si="8"/>
        <v>697.824999999999</v>
      </c>
      <c r="P32" s="92">
        <f t="shared" si="8"/>
        <v>1289.4259999999992</v>
      </c>
      <c r="Q32" s="97">
        <f t="shared" si="8"/>
        <v>1386.2669999999994</v>
      </c>
      <c r="R32" s="92">
        <f t="shared" si="8"/>
        <v>1092.3679999999986</v>
      </c>
      <c r="S32" s="97">
        <f t="shared" si="8"/>
        <v>1669.8564999999985</v>
      </c>
      <c r="T32" s="92">
        <f t="shared" si="8"/>
        <v>2081.114999999999</v>
      </c>
      <c r="U32" s="97">
        <f t="shared" si="8"/>
        <v>2367.893499999998</v>
      </c>
      <c r="V32" s="92">
        <f t="shared" si="8"/>
        <v>2999.9119999999984</v>
      </c>
      <c r="W32" s="38"/>
      <c r="X32" s="83"/>
    </row>
    <row r="33" spans="1:24" ht="22.5" customHeight="1" hidden="1" thickBot="1">
      <c r="A33" s="121" t="s">
        <v>35</v>
      </c>
      <c r="B33" s="56" t="s">
        <v>25</v>
      </c>
      <c r="C33" s="57">
        <v>1264.25</v>
      </c>
      <c r="D33" s="67">
        <v>-13254.51</v>
      </c>
      <c r="E33" s="72">
        <f>SUM(E10-E14,D33)</f>
        <v>-15046.759999999993</v>
      </c>
      <c r="F33" s="72">
        <f>SUM(F10-F14,E33)</f>
        <v>-12996.639999999998</v>
      </c>
      <c r="G33" s="72">
        <f>SUM(G10-G14,F33)</f>
        <v>-23183.250000000007</v>
      </c>
      <c r="H33" s="122">
        <f>SUM(H32+G33)</f>
        <v>-28489.298000000017</v>
      </c>
      <c r="I33" s="123">
        <f>SUM(I32+H33)</f>
        <v>-25868.186000000016</v>
      </c>
      <c r="J33" s="122">
        <f>SUM(J32+I33)</f>
        <v>-25393.824000000015</v>
      </c>
      <c r="K33" s="122">
        <f>SUM(K32+J33)</f>
        <v>-25099.743000000017</v>
      </c>
      <c r="L33" s="122">
        <f>SUM(L31+K33)</f>
        <v>-24591.702000000016</v>
      </c>
      <c r="M33" s="122">
        <f>SUM(M31+L33)</f>
        <v>-24078.061000000016</v>
      </c>
      <c r="N33" s="122">
        <f>SUM(N31+M33)-0.01</f>
        <v>-25270.660000000014</v>
      </c>
      <c r="O33" s="122">
        <f aca="true" t="shared" si="9" ref="O33:V33">SUM(O31+N33)</f>
        <v>-24696.009000000016</v>
      </c>
      <c r="P33" s="122">
        <f t="shared" si="9"/>
        <v>-24104.408000000018</v>
      </c>
      <c r="Q33" s="122">
        <f t="shared" si="9"/>
        <v>-24007.567000000017</v>
      </c>
      <c r="R33" s="122">
        <f t="shared" si="9"/>
        <v>-24301.46600000002</v>
      </c>
      <c r="S33" s="122">
        <f t="shared" si="9"/>
        <v>-23723.97750000002</v>
      </c>
      <c r="T33" s="122">
        <f t="shared" si="9"/>
        <v>-23312.71900000002</v>
      </c>
      <c r="U33" s="122">
        <f t="shared" si="9"/>
        <v>-23025.94050000002</v>
      </c>
      <c r="V33" s="122">
        <f t="shared" si="9"/>
        <v>-22393.922000000017</v>
      </c>
      <c r="W33" s="72"/>
      <c r="X33" s="84"/>
    </row>
    <row r="34" spans="1:24" ht="0.75" customHeight="1" hidden="1" thickBot="1">
      <c r="A34" s="16" t="s">
        <v>36</v>
      </c>
      <c r="B34" s="63" t="s">
        <v>8</v>
      </c>
      <c r="C34" s="63"/>
      <c r="D34" s="64"/>
      <c r="E34" s="65"/>
      <c r="F34" s="85"/>
      <c r="G34" s="85"/>
      <c r="H34" s="85"/>
      <c r="I34" s="85"/>
      <c r="J34" s="85"/>
      <c r="K34" s="35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61"/>
      <c r="W34" s="38"/>
      <c r="X34" s="62"/>
    </row>
    <row r="35" spans="1:24" ht="15" customHeight="1" hidden="1" thickBot="1">
      <c r="A35" s="66" t="s">
        <v>37</v>
      </c>
      <c r="B35" s="56" t="s">
        <v>53</v>
      </c>
      <c r="C35" s="56"/>
      <c r="D35" s="67"/>
      <c r="E35" s="68"/>
      <c r="F35" s="86"/>
      <c r="G35" s="86"/>
      <c r="H35" s="86"/>
      <c r="I35" s="86"/>
      <c r="J35" s="86"/>
      <c r="K35" s="69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1"/>
      <c r="W35" s="72"/>
      <c r="X35" s="62"/>
    </row>
    <row r="36" spans="1:24" ht="24.75" customHeight="1" hidden="1" thickBot="1">
      <c r="A36" s="73" t="s">
        <v>50</v>
      </c>
      <c r="B36" s="74" t="s">
        <v>51</v>
      </c>
      <c r="C36" s="56"/>
      <c r="D36" s="67"/>
      <c r="E36" s="68"/>
      <c r="F36" s="86"/>
      <c r="G36" s="86"/>
      <c r="H36" s="86"/>
      <c r="I36" s="86"/>
      <c r="J36" s="86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75">
        <f>SUM(V32-V34)</f>
        <v>2999.9119999999984</v>
      </c>
      <c r="W36" s="72"/>
      <c r="X36" s="62"/>
    </row>
    <row r="37" spans="1:24" ht="24" customHeight="1" hidden="1" thickBot="1">
      <c r="A37" s="76">
        <v>11</v>
      </c>
      <c r="B37" s="74" t="s">
        <v>26</v>
      </c>
      <c r="C37" s="74"/>
      <c r="D37" s="77"/>
      <c r="E37" s="78"/>
      <c r="F37" s="87"/>
      <c r="G37" s="87"/>
      <c r="H37" s="87"/>
      <c r="I37" s="87"/>
      <c r="J37" s="87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80">
        <f>SUM(V33-V34)</f>
        <v>-22393.922000000017</v>
      </c>
      <c r="W37" s="81"/>
      <c r="X37" s="82"/>
    </row>
    <row r="38" spans="2:24" ht="12" customHeight="1" hidden="1">
      <c r="B38" s="5"/>
      <c r="C38" s="5"/>
      <c r="D38" s="5"/>
      <c r="E38" s="5"/>
      <c r="F38" s="5"/>
      <c r="G38" s="5"/>
      <c r="H38" s="5"/>
      <c r="I38" s="5"/>
      <c r="J38" s="5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7"/>
    </row>
    <row r="39" spans="2:24" ht="6.75" customHeight="1" hidden="1">
      <c r="B39" s="5"/>
      <c r="C39" s="5"/>
      <c r="D39" s="5"/>
      <c r="E39" s="5"/>
      <c r="F39" s="5"/>
      <c r="G39" s="5"/>
      <c r="H39" s="5"/>
      <c r="I39" s="5"/>
      <c r="J39" s="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7"/>
    </row>
    <row r="40" ht="12.75" hidden="1"/>
    <row r="41" ht="1.5" customHeight="1" hidden="1"/>
    <row r="42" ht="12.75" hidden="1"/>
    <row r="43" ht="12.75" hidden="1"/>
    <row r="44" ht="12.75">
      <c r="B44" t="s">
        <v>73</v>
      </c>
    </row>
    <row r="48" ht="12.75" customHeight="1"/>
    <row r="49" ht="12.75" customHeight="1"/>
  </sheetData>
  <sheetProtection/>
  <mergeCells count="5">
    <mergeCell ref="B6:X6"/>
    <mergeCell ref="B7:X7"/>
    <mergeCell ref="B5:X5"/>
    <mergeCell ref="B1:M1"/>
    <mergeCell ref="B3:X3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2018-02-02T07:55:41Z</cp:lastPrinted>
  <dcterms:created xsi:type="dcterms:W3CDTF">2011-06-16T11:06:26Z</dcterms:created>
  <dcterms:modified xsi:type="dcterms:W3CDTF">2018-02-12T06:16:13Z</dcterms:modified>
  <cp:category/>
  <cp:version/>
  <cp:contentType/>
  <cp:contentStatus/>
</cp:coreProperties>
</file>